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Password="AB5B" lockStructure="1" lockWindows="1"/>
  <bookViews>
    <workbookView xWindow="1360" yWindow="0" windowWidth="25600" windowHeight="16060" tabRatio="500"/>
  </bookViews>
  <sheets>
    <sheet name="ESTIMEZ VOS GAINS FACILEMENT" sheetId="11" r:id="rId1"/>
    <sheet name="turnover cas 1" sheetId="7" state="hidden" r:id="rId2"/>
    <sheet name="Absentéisme 1" sheetId="3" state="hidden" r:id="rId3"/>
    <sheet name="Calculs inter" sheetId="12" state="hidden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0" i="12" l="1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C9" i="7"/>
  <c r="C10" i="7"/>
  <c r="C6" i="7"/>
  <c r="D10" i="7"/>
  <c r="C63" i="7"/>
  <c r="C11" i="7"/>
  <c r="D11" i="7"/>
  <c r="C64" i="7"/>
  <c r="C12" i="7"/>
  <c r="D12" i="7"/>
  <c r="C65" i="7"/>
  <c r="C67" i="7"/>
  <c r="C69" i="7"/>
  <c r="C71" i="7"/>
  <c r="D71" i="7"/>
  <c r="C72" i="7"/>
  <c r="D72" i="7"/>
  <c r="C73" i="7"/>
  <c r="D73" i="7"/>
  <c r="D70" i="7"/>
  <c r="C74" i="7"/>
  <c r="G48" i="11"/>
  <c r="D9" i="3"/>
  <c r="C10" i="3"/>
  <c r="D10" i="3"/>
  <c r="C21" i="3"/>
  <c r="F21" i="3"/>
  <c r="E27" i="3"/>
  <c r="F27" i="3"/>
  <c r="C6" i="3"/>
  <c r="C34" i="3"/>
  <c r="C11" i="3"/>
  <c r="D11" i="3"/>
  <c r="D22" i="3"/>
  <c r="F22" i="3"/>
  <c r="E28" i="3"/>
  <c r="F28" i="3"/>
  <c r="C35" i="3"/>
  <c r="C12" i="3"/>
  <c r="D12" i="3"/>
  <c r="E23" i="3"/>
  <c r="F23" i="3"/>
  <c r="E29" i="3"/>
  <c r="F29" i="3"/>
  <c r="C36" i="3"/>
  <c r="C38" i="3"/>
  <c r="C40" i="3"/>
  <c r="C41" i="3"/>
  <c r="C46" i="3"/>
  <c r="F46" i="3"/>
  <c r="E52" i="3"/>
  <c r="F52" i="3"/>
  <c r="C59" i="3"/>
  <c r="C42" i="3"/>
  <c r="D47" i="3"/>
  <c r="F47" i="3"/>
  <c r="E53" i="3"/>
  <c r="F53" i="3"/>
  <c r="C60" i="3"/>
  <c r="C43" i="3"/>
  <c r="E48" i="3"/>
  <c r="F48" i="3"/>
  <c r="E54" i="3"/>
  <c r="F54" i="3"/>
  <c r="C61" i="3"/>
  <c r="C58" i="3"/>
  <c r="C62" i="3"/>
  <c r="G46" i="11"/>
  <c r="F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F4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U12" i="12"/>
  <c r="V12" i="12"/>
  <c r="W12" i="12"/>
  <c r="X12" i="12"/>
  <c r="G12" i="12"/>
  <c r="G13" i="12"/>
  <c r="H12" i="12"/>
  <c r="H13" i="12"/>
  <c r="I12" i="12"/>
  <c r="I13" i="12"/>
  <c r="J12" i="12"/>
  <c r="J13" i="12"/>
  <c r="K12" i="12"/>
  <c r="K13" i="12"/>
  <c r="L12" i="12"/>
  <c r="L13" i="12"/>
  <c r="M12" i="12"/>
  <c r="M13" i="12"/>
  <c r="N12" i="12"/>
  <c r="N13" i="12"/>
  <c r="O12" i="12"/>
  <c r="O13" i="12"/>
  <c r="P12" i="12"/>
  <c r="P13" i="12"/>
  <c r="Q12" i="12"/>
  <c r="Q13" i="12"/>
  <c r="R12" i="12"/>
  <c r="R13" i="12"/>
  <c r="S12" i="12"/>
  <c r="S13" i="12"/>
  <c r="T12" i="12"/>
  <c r="T13" i="12"/>
  <c r="U13" i="12"/>
  <c r="V13" i="12"/>
  <c r="W13" i="12"/>
  <c r="X13" i="12"/>
  <c r="F13" i="12"/>
  <c r="E38" i="11"/>
  <c r="E36" i="11"/>
  <c r="G3" i="12"/>
  <c r="J38" i="11"/>
  <c r="C8" i="7"/>
  <c r="C17" i="7"/>
  <c r="D17" i="7"/>
  <c r="H3" i="12"/>
  <c r="J37" i="11"/>
  <c r="H7" i="12"/>
  <c r="G7" i="12"/>
  <c r="I7" i="12"/>
  <c r="F7" i="12"/>
  <c r="D17" i="3"/>
  <c r="E38" i="3"/>
  <c r="D67" i="7"/>
  <c r="E67" i="7"/>
  <c r="E74" i="7"/>
  <c r="I35" i="11"/>
  <c r="C8" i="3"/>
  <c r="D38" i="3"/>
  <c r="I48" i="11"/>
  <c r="K20" i="11"/>
  <c r="C27" i="3"/>
  <c r="C17" i="3"/>
  <c r="E62" i="3"/>
  <c r="C22" i="7"/>
  <c r="F21" i="7"/>
  <c r="C21" i="7"/>
  <c r="C23" i="7"/>
  <c r="F23" i="7"/>
  <c r="F28" i="7"/>
  <c r="F33" i="7"/>
  <c r="F38" i="7"/>
  <c r="C60" i="7"/>
  <c r="F22" i="7"/>
  <c r="F27" i="7"/>
  <c r="F32" i="7"/>
  <c r="F37" i="7"/>
  <c r="C59" i="7"/>
  <c r="F26" i="7"/>
  <c r="F31" i="7"/>
  <c r="F36" i="7"/>
  <c r="C52" i="7"/>
  <c r="F52" i="7"/>
  <c r="F47" i="7"/>
  <c r="C58" i="7"/>
  <c r="C14" i="7"/>
  <c r="C15" i="7"/>
  <c r="F48" i="7"/>
  <c r="F53" i="7"/>
  <c r="C42" i="7"/>
  <c r="F42" i="7"/>
  <c r="F49" i="7"/>
  <c r="F54" i="7"/>
  <c r="D74" i="7"/>
  <c r="D62" i="3"/>
  <c r="F41" i="7"/>
  <c r="C16" i="3"/>
  <c r="C15" i="3"/>
  <c r="C14" i="3"/>
  <c r="C52" i="3"/>
  <c r="C53" i="3"/>
  <c r="C54" i="3"/>
  <c r="C28" i="3"/>
  <c r="C29" i="3"/>
  <c r="C16" i="7"/>
  <c r="C43" i="7"/>
  <c r="F43" i="7"/>
  <c r="AN7" i="7"/>
  <c r="AO7" i="7"/>
  <c r="AP7" i="7"/>
  <c r="AQ7" i="7"/>
  <c r="AR7" i="7"/>
  <c r="E52" i="7"/>
  <c r="C41" i="7"/>
  <c r="C53" i="7"/>
  <c r="E53" i="7"/>
  <c r="C54" i="7"/>
  <c r="E54" i="7"/>
  <c r="C70" i="7"/>
  <c r="D60" i="7"/>
  <c r="E60" i="7"/>
  <c r="D59" i="7"/>
  <c r="E59" i="7"/>
  <c r="D58" i="7"/>
  <c r="E58" i="7"/>
  <c r="D9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L6" i="3"/>
  <c r="K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J5" i="3"/>
  <c r="J6" i="3"/>
</calcChain>
</file>

<file path=xl/sharedStrings.xml><?xml version="1.0" encoding="utf-8"?>
<sst xmlns="http://schemas.openxmlformats.org/spreadsheetml/2006/main" count="183" uniqueCount="107">
  <si>
    <t>TURNOVER</t>
  </si>
  <si>
    <t>Effectif entreprise</t>
  </si>
  <si>
    <t>Coût de recrutement par poste à pourvoir</t>
  </si>
  <si>
    <t>Coût adm et gestion par poste à pourvoir</t>
  </si>
  <si>
    <t>Surcharge équipe pendant période d'intégaration</t>
  </si>
  <si>
    <t>Efficacité pendant période d'intégration par personne</t>
  </si>
  <si>
    <t>Coût de formation et habilitation par personne entrante</t>
  </si>
  <si>
    <t xml:space="preserve">Montant € </t>
  </si>
  <si>
    <t>dont % CAT 2 Cadre</t>
  </si>
  <si>
    <t>dont % CAT 3 Cadre sup et Dirigeant</t>
  </si>
  <si>
    <t>dont % CAT 1 Technicien et Agent de maîtrise</t>
  </si>
  <si>
    <t>TOTAL par poste</t>
  </si>
  <si>
    <t>Soit en nb de poste concerné (arrondi)</t>
  </si>
  <si>
    <t>CAT 1</t>
  </si>
  <si>
    <t>CAT 2</t>
  </si>
  <si>
    <t>CAT 3</t>
  </si>
  <si>
    <t>Paiement CP/RTT par personnel partant</t>
  </si>
  <si>
    <t>Nb jour aquis</t>
  </si>
  <si>
    <t>Coût majoration frais de départ (RC, etc)</t>
  </si>
  <si>
    <t>Majoration en % sur salaire annuel</t>
  </si>
  <si>
    <t>Habilitation</t>
  </si>
  <si>
    <t>Formation intra poste</t>
  </si>
  <si>
    <t>Formation extra poste</t>
  </si>
  <si>
    <t>Durée intégration (mois)</t>
  </si>
  <si>
    <t>Taux efficacité sur le poste pendant intégration</t>
  </si>
  <si>
    <t>TOTAL par CAT</t>
  </si>
  <si>
    <t>% du CA</t>
  </si>
  <si>
    <t>Taux surcharge équipe pendant intégration (ramenée à un ETP)</t>
  </si>
  <si>
    <t>Charge Salaire horaire ETP CAT 2 : Cadre</t>
  </si>
  <si>
    <t>Charge Salaire horaire ETP CAT 3 : Cadre sup et Dirigeant</t>
  </si>
  <si>
    <t>CA estimé par salarié</t>
  </si>
  <si>
    <t>CA estimé entreprise</t>
  </si>
  <si>
    <t>Nb heures CAT 2</t>
  </si>
  <si>
    <t>Nb heures CAT 1</t>
  </si>
  <si>
    <t>Nb heures CAT 3</t>
  </si>
  <si>
    <t>Salaire annuel chargé</t>
  </si>
  <si>
    <t>% sur salaire annuel</t>
  </si>
  <si>
    <t>TOTAL annuel €</t>
  </si>
  <si>
    <t>Gain potentiel</t>
  </si>
  <si>
    <t>Effectif CAT 1</t>
  </si>
  <si>
    <t>Effectif CAT 2</t>
  </si>
  <si>
    <t>Effectif CAT 3</t>
  </si>
  <si>
    <t>Valeur de Turn over visé</t>
  </si>
  <si>
    <t>Valeur de turn-over visée</t>
  </si>
  <si>
    <t>Gain financier estimé</t>
  </si>
  <si>
    <t>% Turn-over annuel actuel réel</t>
  </si>
  <si>
    <t>Absentéisme</t>
  </si>
  <si>
    <t>Soit en nb de jour par salarié (arrondi)</t>
  </si>
  <si>
    <t>Coût de l'absentéisme par personne (80% sur brut salaire de base)</t>
  </si>
  <si>
    <t>Salaire horaire brut ETP CAT 2 : Cadre</t>
  </si>
  <si>
    <t>Salaire horaire brut ETP CAT 3 : Cadre sup et Dirigeant</t>
  </si>
  <si>
    <t>Surcharge de l'équipe pendant la période d'absence</t>
  </si>
  <si>
    <t>Taux surcharge équipe pendant absence (ramenée à un ETP)</t>
  </si>
  <si>
    <t>Durée absence (jour)</t>
  </si>
  <si>
    <t>Nombre de jour absence visé</t>
  </si>
  <si>
    <t>TOTAL pour le cas étudié</t>
  </si>
  <si>
    <t>Charge Salaire horaire ETP CAT 1 : Non-Cadre</t>
  </si>
  <si>
    <t>Coûts directs recrutement</t>
  </si>
  <si>
    <t>Coûts indirects remplacement</t>
  </si>
  <si>
    <t>Coûts directs absence</t>
  </si>
  <si>
    <t>Coûts indirects absence</t>
  </si>
  <si>
    <t>Valeur d'absentéisme visé</t>
  </si>
  <si>
    <t>Version du 01/03/19</t>
  </si>
  <si>
    <t>SIMULATEUR DE COÛTS - ABSENTEISME ET TURNOVER DU PERSONNEL</t>
  </si>
  <si>
    <t>Estimation % Masse salariale /CA</t>
  </si>
  <si>
    <t>% Masse Salariale</t>
  </si>
  <si>
    <t>Nombre de jour annuel actuel réel</t>
  </si>
  <si>
    <t>Effectif total de votre entreprise :</t>
  </si>
  <si>
    <t>Nombre de Jours d'absence moyen annuel :</t>
  </si>
  <si>
    <t>Dont répartition en % :</t>
  </si>
  <si>
    <t>Pourcentage de turnover moyen annuel (rotation du personnel) :</t>
  </si>
  <si>
    <t>Non Cadre (NC)</t>
  </si>
  <si>
    <t>Cadre ( C )</t>
  </si>
  <si>
    <t>Dirigeant (D)</t>
  </si>
  <si>
    <t>Commentaires</t>
  </si>
  <si>
    <t>Chiffre d'affaire annuel de votre entreprise en euros :</t>
  </si>
  <si>
    <t>On entend par point gagné le fait de diminuer de 1 la valeur du pourcentage du turover (ie passer de 19 % à 18 % par exemple)</t>
  </si>
  <si>
    <t>ESTIMEZ FACILEMENT ET RAPIDEMENT VOS GAINS POTENTIELS grâce à notre outil de diagnostic AP2V Conseils !</t>
  </si>
  <si>
    <t>Part % Masse salariale</t>
  </si>
  <si>
    <t>CA Annuel €</t>
  </si>
  <si>
    <t>Part % Masse Salariale</t>
  </si>
  <si>
    <t>Part % Surcoût Absentéisme et Turnover</t>
  </si>
  <si>
    <t>Autres charges</t>
  </si>
  <si>
    <t>CA Total annuel €</t>
  </si>
  <si>
    <t>Surcoût % du CA</t>
  </si>
  <si>
    <t>Soit :</t>
  </si>
  <si>
    <t>de votre Masse Salariale</t>
  </si>
  <si>
    <t>de votre CA annuel</t>
  </si>
  <si>
    <t xml:space="preserve">Si vous ne connaissez pas le CA annuel, nous vous conseillions une valeur par défaut à 80 000 € par salarié </t>
  </si>
  <si>
    <t>Ce que Vous Coûtent Votre Absentéisme et Votre taux de Turnover annuellement</t>
  </si>
  <si>
    <t>Données Générales de Votre Entreprise</t>
  </si>
  <si>
    <t>TOTAL GAINS POSSIBLES pour chaque point gagné :</t>
  </si>
  <si>
    <t>Si vous ne connaissez pas cette répartition, nous vous conseillions de mettre une répartition par défaut à 60 % NC - 25 % C et 15 % D</t>
  </si>
  <si>
    <t>TOTAL CUMULE €/an :</t>
  </si>
  <si>
    <t>GAINS et ECONOMIES Potentielles pour chaque Jour d'absentéisme gagné :</t>
  </si>
  <si>
    <t>GAINS et ECONOMIES Potentielles pour chaque point de Turnover gagné :</t>
  </si>
  <si>
    <t>On entend par jour gagné le fait de diminuer de 1 la valeur du taux d'absentéisme en jour (ie passer de 15 à 14 jours par exemple)</t>
  </si>
  <si>
    <t>www.AP2Vconseils.com</t>
  </si>
  <si>
    <t>Retrouvez-nous sur :</t>
  </si>
  <si>
    <r>
      <t>👉👉</t>
    </r>
    <r>
      <rPr>
        <b/>
        <sz val="26"/>
        <color theme="1"/>
        <rFont val="Seravek Bold"/>
      </rPr>
      <t xml:space="preserve"> Contactez-nous pour plus d'informations : contact@ap2vconseils.com 👈👈</t>
    </r>
  </si>
  <si>
    <r>
      <t>💪💪</t>
    </r>
    <r>
      <rPr>
        <b/>
        <sz val="24"/>
        <color theme="1"/>
        <rFont val="Seravek Bold"/>
      </rPr>
      <t xml:space="preserve"> Investissez aujourd'hui dans votre capital Humain et Réalisez d'énormes économies rapidement ! 👌👌</t>
    </r>
  </si>
  <si>
    <r>
      <t>👇</t>
    </r>
    <r>
      <rPr>
        <b/>
        <sz val="26"/>
        <color theme="1"/>
        <rFont val="Seravek Bold"/>
      </rPr>
      <t xml:space="preserve"> AP2V Conseils vous accompagne au plus près de vous besoins </t>
    </r>
    <r>
      <rPr>
        <b/>
        <sz val="26"/>
        <color theme="1"/>
        <rFont val="Seravek"/>
      </rPr>
      <t>👇</t>
    </r>
  </si>
  <si>
    <t>Coût total de l'absentéisme en Euros/an :</t>
  </si>
  <si>
    <t>Coûts total du Turnover en Euros/an :</t>
  </si>
  <si>
    <t>Les chiffres, informations et estimations données dans ce document ne sont pas contractuels</t>
  </si>
  <si>
    <t>GAINS POTENTIELS en Euros</t>
  </si>
  <si>
    <t xml:space="preserve">Vos données à saisir dans les cases à fond blanc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</si>
</sst>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  <numFmt numFmtId="165" formatCode="0.0"/>
    <numFmt numFmtId="166" formatCode="0.000%"/>
    <numFmt numFmtId="167" formatCode="0.0%"/>
    <numFmt numFmtId="168" formatCode="_ * #,##0_)\ &quot;€&quot;_ ;_ * \(#,##0\)\ &quot;€&quot;_ ;_ * &quot;-&quot;??_)\ &quot;€&quot;_ ;_ @_ 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sz val="12"/>
      <color theme="1"/>
      <name val="Seravek"/>
    </font>
    <font>
      <sz val="16"/>
      <color theme="1"/>
      <name val="Seravek"/>
    </font>
    <font>
      <b/>
      <sz val="18"/>
      <color theme="1"/>
      <name val="Seravek"/>
    </font>
    <font>
      <b/>
      <sz val="12"/>
      <color theme="1"/>
      <name val="Seravek"/>
    </font>
    <font>
      <b/>
      <sz val="16"/>
      <color theme="1"/>
      <name val="Seravek"/>
    </font>
    <font>
      <b/>
      <i/>
      <sz val="16"/>
      <color theme="1"/>
      <name val="Seravek"/>
    </font>
    <font>
      <i/>
      <sz val="12"/>
      <color theme="1"/>
      <name val="Seravek"/>
    </font>
    <font>
      <b/>
      <i/>
      <sz val="18"/>
      <color theme="1"/>
      <name val="Seravek"/>
    </font>
    <font>
      <b/>
      <sz val="22"/>
      <color theme="1"/>
      <name val="Seravek"/>
    </font>
    <font>
      <b/>
      <u/>
      <sz val="18"/>
      <color theme="1"/>
      <name val="Seravek"/>
    </font>
    <font>
      <b/>
      <sz val="22"/>
      <color theme="0"/>
      <name val="Seravek"/>
    </font>
    <font>
      <sz val="14"/>
      <color theme="1"/>
      <name val="Seravek"/>
    </font>
    <font>
      <u/>
      <sz val="14"/>
      <color theme="1"/>
      <name val="Seravek"/>
    </font>
    <font>
      <b/>
      <sz val="26"/>
      <color theme="1"/>
      <name val="Seravek"/>
    </font>
    <font>
      <u/>
      <sz val="26"/>
      <color theme="10"/>
      <name val="Calibri"/>
      <scheme val="minor"/>
    </font>
    <font>
      <b/>
      <sz val="26"/>
      <color theme="1"/>
      <name val="Seravek Bold"/>
    </font>
    <font>
      <b/>
      <sz val="24"/>
      <color theme="1"/>
      <name val="Seravek"/>
    </font>
    <font>
      <b/>
      <sz val="24"/>
      <color theme="1"/>
      <name val="Seravek Bold"/>
    </font>
    <font>
      <i/>
      <sz val="14"/>
      <color theme="1"/>
      <name val="Seravek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7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5">
    <xf numFmtId="0" fontId="0" fillId="0" borderId="0" xfId="0"/>
    <xf numFmtId="9" fontId="0" fillId="0" borderId="0" xfId="2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9" fontId="6" fillId="0" borderId="1" xfId="2" applyFont="1" applyBorder="1"/>
    <xf numFmtId="0" fontId="7" fillId="0" borderId="1" xfId="0" applyFont="1" applyBorder="1"/>
    <xf numFmtId="0" fontId="3" fillId="0" borderId="1" xfId="0" applyFont="1" applyBorder="1" applyAlignment="1">
      <alignment horizontal="right"/>
    </xf>
    <xf numFmtId="44" fontId="0" fillId="0" borderId="1" xfId="1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1" fontId="0" fillId="0" borderId="4" xfId="2" applyNumberFormat="1" applyFont="1" applyBorder="1" applyAlignment="1">
      <alignment vertical="center"/>
    </xf>
    <xf numFmtId="0" fontId="3" fillId="2" borderId="1" xfId="0" applyFont="1" applyFill="1" applyBorder="1"/>
    <xf numFmtId="9" fontId="3" fillId="2" borderId="1" xfId="2" applyFont="1" applyFill="1" applyBorder="1"/>
    <xf numFmtId="0" fontId="3" fillId="3" borderId="1" xfId="0" applyFont="1" applyFill="1" applyBorder="1"/>
    <xf numFmtId="44" fontId="3" fillId="3" borderId="1" xfId="1" applyFont="1" applyFill="1" applyBorder="1"/>
    <xf numFmtId="0" fontId="6" fillId="3" borderId="1" xfId="0" applyFont="1" applyFill="1" applyBorder="1"/>
    <xf numFmtId="44" fontId="6" fillId="3" borderId="1" xfId="1" applyFont="1" applyFill="1" applyBorder="1"/>
    <xf numFmtId="44" fontId="0" fillId="0" borderId="0" xfId="0" applyNumberFormat="1"/>
    <xf numFmtId="0" fontId="3" fillId="2" borderId="1" xfId="0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65" fontId="3" fillId="2" borderId="1" xfId="0" applyNumberFormat="1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9" fillId="4" borderId="5" xfId="0" applyFont="1" applyFill="1" applyBorder="1"/>
    <xf numFmtId="0" fontId="9" fillId="4" borderId="6" xfId="0" applyFont="1" applyFill="1" applyBorder="1"/>
    <xf numFmtId="0" fontId="8" fillId="0" borderId="6" xfId="0" applyFont="1" applyBorder="1"/>
    <xf numFmtId="0" fontId="9" fillId="5" borderId="5" xfId="0" applyFont="1" applyFill="1" applyBorder="1"/>
    <xf numFmtId="0" fontId="10" fillId="5" borderId="5" xfId="0" applyFont="1" applyFill="1" applyBorder="1"/>
    <xf numFmtId="0" fontId="10" fillId="0" borderId="5" xfId="0" applyFont="1" applyBorder="1"/>
    <xf numFmtId="165" fontId="9" fillId="4" borderId="6" xfId="0" applyNumberFormat="1" applyFont="1" applyFill="1" applyBorder="1"/>
    <xf numFmtId="0" fontId="8" fillId="0" borderId="5" xfId="0" applyFont="1" applyBorder="1"/>
    <xf numFmtId="44" fontId="8" fillId="0" borderId="6" xfId="0" applyNumberFormat="1" applyFont="1" applyBorder="1"/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0" xfId="2" applyNumberFormat="1" applyFont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2" borderId="0" xfId="2" applyNumberFormat="1" applyFont="1" applyFill="1"/>
    <xf numFmtId="10" fontId="0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6" fontId="0" fillId="0" borderId="0" xfId="2" applyNumberFormat="1" applyFo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9" fontId="0" fillId="0" borderId="1" xfId="2" applyFont="1" applyBorder="1"/>
    <xf numFmtId="44" fontId="0" fillId="0" borderId="1" xfId="0" applyNumberFormat="1" applyBorder="1"/>
    <xf numFmtId="167" fontId="0" fillId="2" borderId="1" xfId="2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11" fillId="3" borderId="10" xfId="0" applyFont="1" applyFill="1" applyBorder="1"/>
    <xf numFmtId="0" fontId="11" fillId="3" borderId="0" xfId="0" applyFont="1" applyFill="1" applyBorder="1"/>
    <xf numFmtId="0" fontId="11" fillId="3" borderId="11" xfId="0" applyFont="1" applyFill="1" applyBorder="1"/>
    <xf numFmtId="0" fontId="11" fillId="3" borderId="10" xfId="0" applyFont="1" applyFill="1" applyBorder="1" applyAlignment="1">
      <alignment vertical="center"/>
    </xf>
    <xf numFmtId="0" fontId="11" fillId="3" borderId="12" xfId="0" applyFont="1" applyFill="1" applyBorder="1"/>
    <xf numFmtId="0" fontId="11" fillId="3" borderId="13" xfId="0" applyFont="1" applyFill="1" applyBorder="1"/>
    <xf numFmtId="0" fontId="11" fillId="3" borderId="6" xfId="0" applyFont="1" applyFill="1" applyBorder="1"/>
    <xf numFmtId="0" fontId="16" fillId="3" borderId="1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44" fontId="19" fillId="3" borderId="8" xfId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44" fontId="1" fillId="3" borderId="1" xfId="1" applyFont="1" applyFill="1" applyBorder="1"/>
    <xf numFmtId="0" fontId="15" fillId="3" borderId="10" xfId="0" applyFont="1" applyFill="1" applyBorder="1" applyAlignment="1">
      <alignment vertical="center"/>
    </xf>
    <xf numFmtId="0" fontId="15" fillId="3" borderId="0" xfId="0" applyFont="1" applyFill="1" applyBorder="1"/>
    <xf numFmtId="0" fontId="13" fillId="3" borderId="10" xfId="0" applyFont="1" applyFill="1" applyBorder="1" applyAlignment="1">
      <alignment vertical="center"/>
    </xf>
    <xf numFmtId="167" fontId="0" fillId="0" borderId="1" xfId="2" applyNumberFormat="1" applyFont="1" applyBorder="1"/>
    <xf numFmtId="9" fontId="0" fillId="0" borderId="0" xfId="0" applyNumberFormat="1"/>
    <xf numFmtId="9" fontId="13" fillId="6" borderId="0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/>
    </xf>
    <xf numFmtId="9" fontId="13" fillId="6" borderId="0" xfId="0" applyNumberFormat="1" applyFont="1" applyFill="1" applyAlignment="1">
      <alignment horizontal="center" vertical="center"/>
    </xf>
    <xf numFmtId="0" fontId="13" fillId="6" borderId="11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/>
    </xf>
    <xf numFmtId="168" fontId="21" fillId="7" borderId="1" xfId="1" applyNumberFormat="1" applyFont="1" applyFill="1" applyBorder="1" applyAlignment="1">
      <alignment horizontal="center" vertical="center"/>
    </xf>
    <xf numFmtId="168" fontId="19" fillId="9" borderId="1" xfId="1" applyNumberFormat="1" applyFont="1" applyFill="1" applyBorder="1" applyAlignment="1">
      <alignment horizontal="center" vertical="center"/>
    </xf>
    <xf numFmtId="44" fontId="0" fillId="0" borderId="0" xfId="1" applyFont="1"/>
    <xf numFmtId="0" fontId="25" fillId="3" borderId="0" xfId="273" applyFont="1" applyFill="1"/>
    <xf numFmtId="0" fontId="12" fillId="3" borderId="0" xfId="0" applyFont="1" applyFill="1"/>
    <xf numFmtId="0" fontId="22" fillId="3" borderId="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7" fillId="3" borderId="0" xfId="0" applyFont="1" applyFill="1"/>
    <xf numFmtId="0" fontId="12" fillId="3" borderId="10" xfId="0" applyFont="1" applyFill="1" applyBorder="1" applyAlignment="1">
      <alignment vertical="center"/>
    </xf>
    <xf numFmtId="0" fontId="12" fillId="3" borderId="10" xfId="0" applyFont="1" applyFill="1" applyBorder="1"/>
    <xf numFmtId="9" fontId="29" fillId="3" borderId="11" xfId="0" applyNumberFormat="1" applyFont="1" applyFill="1" applyBorder="1"/>
    <xf numFmtId="0" fontId="13" fillId="3" borderId="0" xfId="0" applyFont="1" applyFill="1"/>
    <xf numFmtId="0" fontId="15" fillId="3" borderId="1" xfId="0" applyFont="1" applyFill="1" applyBorder="1" applyAlignment="1" applyProtection="1">
      <alignment horizontal="center" vertical="center"/>
      <protection locked="0"/>
    </xf>
    <xf numFmtId="44" fontId="15" fillId="3" borderId="1" xfId="1" applyFont="1" applyFill="1" applyBorder="1" applyAlignment="1" applyProtection="1">
      <alignment horizontal="center" vertical="center"/>
      <protection locked="0"/>
    </xf>
    <xf numFmtId="9" fontId="15" fillId="3" borderId="1" xfId="2" applyFont="1" applyFill="1" applyBorder="1" applyAlignment="1" applyProtection="1">
      <alignment horizontal="center" vertical="center"/>
      <protection locked="0"/>
    </xf>
    <xf numFmtId="9" fontId="12" fillId="3" borderId="1" xfId="2" applyFont="1" applyFill="1" applyBorder="1" applyAlignment="1" applyProtection="1">
      <alignment vertical="center"/>
      <protection locked="0"/>
    </xf>
    <xf numFmtId="0" fontId="22" fillId="3" borderId="1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168" fontId="21" fillId="7" borderId="2" xfId="1" applyNumberFormat="1" applyFont="1" applyFill="1" applyBorder="1" applyAlignment="1">
      <alignment horizontal="center" vertical="center"/>
    </xf>
    <xf numFmtId="168" fontId="21" fillId="7" borderId="4" xfId="1" applyNumberFormat="1" applyFont="1" applyFill="1" applyBorder="1" applyAlignment="1">
      <alignment horizontal="center" vertical="center"/>
    </xf>
    <xf numFmtId="168" fontId="24" fillId="9" borderId="2" xfId="1" applyNumberFormat="1" applyFont="1" applyFill="1" applyBorder="1" applyAlignment="1">
      <alignment horizontal="center" vertical="center"/>
    </xf>
    <xf numFmtId="168" fontId="24" fillId="9" borderId="4" xfId="1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9" fontId="0" fillId="0" borderId="2" xfId="2" applyFont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</cellXfs>
  <cellStyles count="274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Monétaire" xfId="1" builtinId="4"/>
    <cellStyle name="Normal" xfId="0" builtinId="0"/>
    <cellStyle name="Pourcentage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19212598425"/>
          <c:y val="0.0766497187851518"/>
          <c:w val="0.549250393700787"/>
          <c:h val="0.784643419572553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explosion val="12"/>
          </c:dPt>
          <c:dLbls>
            <c:txPr>
              <a:bodyPr/>
              <a:lstStyle/>
              <a:p>
                <a:pPr>
                  <a:defRPr sz="14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'ESTIMEZ VOS GAINS FACILEMENT'!$H$19:$J$19</c:f>
              <c:strCache>
                <c:ptCount val="3"/>
                <c:pt idx="0">
                  <c:v>Non Cadre (NC)</c:v>
                </c:pt>
                <c:pt idx="1">
                  <c:v>Cadre ( C )</c:v>
                </c:pt>
                <c:pt idx="2">
                  <c:v>Dirigeant (D)</c:v>
                </c:pt>
              </c:strCache>
            </c:strRef>
          </c:cat>
          <c:val>
            <c:numRef>
              <c:f>'ESTIMEZ VOS GAINS FACILEMENT'!$H$20:$J$20</c:f>
              <c:numCache>
                <c:formatCode>0%</c:formatCode>
                <c:ptCount val="3"/>
                <c:pt idx="0">
                  <c:v>0.6</c:v>
                </c:pt>
                <c:pt idx="1">
                  <c:v>0.25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288818897638"/>
          <c:y val="0.579289088863892"/>
          <c:w val="0.328711181102362"/>
          <c:h val="0.316728088109104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115169744031"/>
          <c:y val="0.134499663858321"/>
          <c:w val="0.373183809857064"/>
          <c:h val="0.719000674173122"/>
        </c:manualLayout>
      </c:layout>
      <c:pieChart>
        <c:varyColors val="1"/>
        <c:ser>
          <c:idx val="0"/>
          <c:order val="0"/>
          <c:explosion val="21"/>
          <c:dPt>
            <c:idx val="0"/>
            <c:bubble3D val="0"/>
            <c:explosion val="36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8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'Calculs inter'!$F$2:$G$2</c:f>
              <c:strCache>
                <c:ptCount val="2"/>
                <c:pt idx="0">
                  <c:v>CA Total annuel €</c:v>
                </c:pt>
                <c:pt idx="1">
                  <c:v>Surcoût % du CA</c:v>
                </c:pt>
              </c:strCache>
            </c:strRef>
          </c:cat>
          <c:val>
            <c:numRef>
              <c:f>'Calculs inter'!$F$3:$G$3</c:f>
              <c:numCache>
                <c:formatCode>0%</c:formatCode>
                <c:ptCount val="2"/>
                <c:pt idx="0">
                  <c:v>1.0</c:v>
                </c:pt>
                <c:pt idx="1">
                  <c:v>0.08988082997669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88512205773703"/>
          <c:y val="0.324999633858325"/>
          <c:w val="0.511487794226297"/>
          <c:h val="0.422000739652611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95492760288"/>
          <c:y val="0.0782809396198521"/>
          <c:w val="0.786940867174278"/>
          <c:h val="0.877872890025391"/>
        </c:manualLayout>
      </c:layout>
      <c:barChart>
        <c:barDir val="col"/>
        <c:grouping val="clustered"/>
        <c:varyColors val="0"/>
        <c:ser>
          <c:idx val="0"/>
          <c:order val="0"/>
          <c:tx>
            <c:v>Gains potentiels cumulés en Euros par point gagné</c:v>
          </c:tx>
          <c:spPr>
            <a:scene3d>
              <a:camera prst="orthographicFront"/>
              <a:lightRig rig="threePt" dir="t"/>
            </a:scene3d>
            <a:sp3d prstMaterial="metal">
              <a:bevelB prst="convex"/>
            </a:sp3d>
          </c:spPr>
          <c:invertIfNegative val="0"/>
          <c:cat>
            <c:numRef>
              <c:f>'Calculs inter'!$F$10:$AX$10</c:f>
              <c:numCache>
                <c:formatCode>General</c:formatCode>
                <c:ptCount val="4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</c:numCache>
            </c:numRef>
          </c:cat>
          <c:val>
            <c:numRef>
              <c:f>'Calculs inter'!$F$13:$AX$13</c:f>
              <c:numCache>
                <c:formatCode>_("€"* #,##0.00_);_("€"* \(#,##0.00\);_("€"* "-"??_);_(@_)</c:formatCode>
                <c:ptCount val="45"/>
                <c:pt idx="0">
                  <c:v>22539.0</c:v>
                </c:pt>
                <c:pt idx="1">
                  <c:v>45078.0</c:v>
                </c:pt>
                <c:pt idx="2">
                  <c:v>67617.0</c:v>
                </c:pt>
                <c:pt idx="3">
                  <c:v>90156.0</c:v>
                </c:pt>
                <c:pt idx="4">
                  <c:v>112695.0</c:v>
                </c:pt>
                <c:pt idx="5">
                  <c:v>135234.0</c:v>
                </c:pt>
                <c:pt idx="6">
                  <c:v>157773.0</c:v>
                </c:pt>
                <c:pt idx="7">
                  <c:v>180312.0</c:v>
                </c:pt>
                <c:pt idx="8">
                  <c:v>202851.0</c:v>
                </c:pt>
                <c:pt idx="9">
                  <c:v>225390.0</c:v>
                </c:pt>
                <c:pt idx="10">
                  <c:v>247929.0</c:v>
                </c:pt>
                <c:pt idx="11">
                  <c:v>270468.0</c:v>
                </c:pt>
                <c:pt idx="12">
                  <c:v>293007.0</c:v>
                </c:pt>
                <c:pt idx="13">
                  <c:v>315546.0</c:v>
                </c:pt>
                <c:pt idx="14">
                  <c:v>338085.0</c:v>
                </c:pt>
                <c:pt idx="15">
                  <c:v>360624.0</c:v>
                </c:pt>
                <c:pt idx="16">
                  <c:v>383163.0</c:v>
                </c:pt>
                <c:pt idx="17">
                  <c:v>405702.0</c:v>
                </c:pt>
                <c:pt idx="18">
                  <c:v>428241.0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1809672"/>
        <c:axId val="-2103416440"/>
      </c:barChart>
      <c:catAx>
        <c:axId val="-210180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03416440"/>
        <c:crosses val="autoZero"/>
        <c:auto val="1"/>
        <c:lblAlgn val="ctr"/>
        <c:lblOffset val="100"/>
        <c:noMultiLvlLbl val="0"/>
      </c:catAx>
      <c:valAx>
        <c:axId val="-2103416440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fr-FR"/>
          </a:p>
        </c:txPr>
        <c:crossAx val="-2101809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Gain financier estimé (€) en fonction du turn-over visé (%)</a:t>
            </a:r>
          </a:p>
          <a:p>
            <a:pPr>
              <a:defRPr/>
            </a:pPr>
            <a:r>
              <a:rPr lang="fr-FR" sz="1400" b="0" i="1"/>
              <a:t>entreprise de 25 salariés (Turn-over de 60 % non-Cadre / 30 % Cadre / 10% Dir)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'turnover cas 1'!$H$7</c:f>
              <c:strCache>
                <c:ptCount val="1"/>
                <c:pt idx="0">
                  <c:v>Gain financier estimé</c:v>
                </c:pt>
              </c:strCache>
            </c:strRef>
          </c:tx>
          <c:cat>
            <c:numRef>
              <c:f>'turnover cas 1'!$AH$6:$AM$6</c:f>
              <c:numCache>
                <c:formatCode>0%</c:formatCode>
                <c:ptCount val="6"/>
                <c:pt idx="0">
                  <c:v>0.1</c:v>
                </c:pt>
                <c:pt idx="1">
                  <c:v>0.09</c:v>
                </c:pt>
                <c:pt idx="2">
                  <c:v>0.08</c:v>
                </c:pt>
                <c:pt idx="3">
                  <c:v>0.07</c:v>
                </c:pt>
                <c:pt idx="4">
                  <c:v>0.06</c:v>
                </c:pt>
                <c:pt idx="5">
                  <c:v>0.05</c:v>
                </c:pt>
              </c:numCache>
            </c:numRef>
          </c:cat>
          <c:val>
            <c:numRef>
              <c:f>'turnover cas 1'!$AH$7:$AM$7</c:f>
              <c:numCache>
                <c:formatCode>_-* #\ ##0.00\ [$€-40C]_-;\-* #\ ##0.00\ [$€-40C]_-;_-* "-"??\ [$€-40C]_-;_-@_-</c:formatCode>
                <c:ptCount val="6"/>
                <c:pt idx="0">
                  <c:v>93432.81025641024</c:v>
                </c:pt>
                <c:pt idx="1">
                  <c:v>117873.3025641025</c:v>
                </c:pt>
                <c:pt idx="2">
                  <c:v>138719.3205128205</c:v>
                </c:pt>
                <c:pt idx="3">
                  <c:v>159565.3384615385</c:v>
                </c:pt>
                <c:pt idx="4">
                  <c:v>173215.4794871795</c:v>
                </c:pt>
                <c:pt idx="5">
                  <c:v>197655.9717948718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059352"/>
        <c:axId val="-2103014248"/>
      </c:lineChart>
      <c:catAx>
        <c:axId val="-210205935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-2103014248"/>
        <c:crosses val="autoZero"/>
        <c:auto val="1"/>
        <c:lblAlgn val="ctr"/>
        <c:lblOffset val="100"/>
        <c:noMultiLvlLbl val="0"/>
      </c:catAx>
      <c:valAx>
        <c:axId val="-2103014248"/>
        <c:scaling>
          <c:orientation val="minMax"/>
        </c:scaling>
        <c:delete val="0"/>
        <c:axPos val="l"/>
        <c:majorGridlines/>
        <c:numFmt formatCode="_-* #\ ##0.00\ [$€-40C]_-;\-* #\ ##0.00\ [$€-40C]_-;_-* &quot;-&quot;??\ [$€-40C]_-;_-@_-" sourceLinked="1"/>
        <c:majorTickMark val="out"/>
        <c:minorTickMark val="none"/>
        <c:tickLblPos val="nextTo"/>
        <c:crossAx val="-21020593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Gain financier estimé (€) en nombre jour d'absence visé (Jr)</a:t>
            </a:r>
          </a:p>
          <a:p>
            <a:pPr>
              <a:defRPr/>
            </a:pPr>
            <a:r>
              <a:rPr lang="fr-FR" sz="1400" b="0" i="1"/>
              <a:t>entreprise de 25 salariés (Effectif de 60 % non-Cadre / 30 % Cadre / 10 % Dir)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'Absentéisme 1'!$J$5:$Y$5</c:f>
              <c:numCache>
                <c:formatCode>0.00</c:formatCode>
                <c:ptCount val="16"/>
                <c:pt idx="0">
                  <c:v>17.0</c:v>
                </c:pt>
                <c:pt idx="1">
                  <c:v>16.0</c:v>
                </c:pt>
                <c:pt idx="2">
                  <c:v>15.0</c:v>
                </c:pt>
                <c:pt idx="3">
                  <c:v>14.0</c:v>
                </c:pt>
                <c:pt idx="4">
                  <c:v>13.0</c:v>
                </c:pt>
                <c:pt idx="5">
                  <c:v>12.0</c:v>
                </c:pt>
                <c:pt idx="6">
                  <c:v>11.0</c:v>
                </c:pt>
                <c:pt idx="7">
                  <c:v>10.0</c:v>
                </c:pt>
                <c:pt idx="8">
                  <c:v>9.0</c:v>
                </c:pt>
                <c:pt idx="9">
                  <c:v>8.0</c:v>
                </c:pt>
                <c:pt idx="10">
                  <c:v>7.0</c:v>
                </c:pt>
                <c:pt idx="11">
                  <c:v>6.0</c:v>
                </c:pt>
                <c:pt idx="12">
                  <c:v>5.0</c:v>
                </c:pt>
                <c:pt idx="13">
                  <c:v>4.0</c:v>
                </c:pt>
                <c:pt idx="14">
                  <c:v>3.0</c:v>
                </c:pt>
                <c:pt idx="15">
                  <c:v>2.0</c:v>
                </c:pt>
              </c:numCache>
            </c:numRef>
          </c:cat>
          <c:val>
            <c:numRef>
              <c:f>'Absentéisme 1'!$J$6:$Y$6</c:f>
              <c:numCache>
                <c:formatCode>_-* #\ ##0.00\ [$€-40C]_-;\-* #\ ##0.00\ [$€-40C]_-;_-* "-"??\ [$€-40C]_-;_-@_-</c:formatCode>
                <c:ptCount val="16"/>
                <c:pt idx="0">
                  <c:v>0.0</c:v>
                </c:pt>
                <c:pt idx="1">
                  <c:v>8889.381818181835</c:v>
                </c:pt>
                <c:pt idx="2">
                  <c:v>17778.76363636361</c:v>
                </c:pt>
                <c:pt idx="3">
                  <c:v>26668.14545454543</c:v>
                </c:pt>
                <c:pt idx="4">
                  <c:v>35557.52727272725</c:v>
                </c:pt>
                <c:pt idx="5">
                  <c:v>44446.90909090912</c:v>
                </c:pt>
                <c:pt idx="6">
                  <c:v>53336.29090909089</c:v>
                </c:pt>
                <c:pt idx="7">
                  <c:v>62225.67272727273</c:v>
                </c:pt>
                <c:pt idx="8">
                  <c:v>71115.05454545454</c:v>
                </c:pt>
                <c:pt idx="9">
                  <c:v>80004.43636363637</c:v>
                </c:pt>
                <c:pt idx="10">
                  <c:v>88893.81818181817</c:v>
                </c:pt>
                <c:pt idx="11">
                  <c:v>97783.20000000001</c:v>
                </c:pt>
                <c:pt idx="12">
                  <c:v>106672.5818181818</c:v>
                </c:pt>
                <c:pt idx="13">
                  <c:v>115561.9636363636</c:v>
                </c:pt>
                <c:pt idx="14">
                  <c:v>124451.3454545455</c:v>
                </c:pt>
                <c:pt idx="15">
                  <c:v>133340.7272727273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749416"/>
        <c:axId val="-2101390936"/>
      </c:lineChart>
      <c:catAx>
        <c:axId val="-21027494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-2101390936"/>
        <c:crosses val="autoZero"/>
        <c:auto val="1"/>
        <c:lblAlgn val="ctr"/>
        <c:lblOffset val="100"/>
        <c:noMultiLvlLbl val="0"/>
      </c:catAx>
      <c:valAx>
        <c:axId val="-2101390936"/>
        <c:scaling>
          <c:orientation val="minMax"/>
        </c:scaling>
        <c:delete val="0"/>
        <c:axPos val="l"/>
        <c:majorGridlines/>
        <c:numFmt formatCode="_-* #\ ##0.00\ [$€-40C]_-;\-* #\ ##0.00\ [$€-40C]_-;_-* &quot;-&quot;??\ [$€-40C]_-;_-@_-" sourceLinked="1"/>
        <c:majorTickMark val="out"/>
        <c:minorTickMark val="none"/>
        <c:tickLblPos val="nextTo"/>
        <c:crossAx val="-210274941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708933</xdr:colOff>
      <xdr:row>3</xdr:row>
      <xdr:rowOff>16933</xdr:rowOff>
    </xdr:from>
    <xdr:to>
      <xdr:col>13</xdr:col>
      <xdr:colOff>948268</xdr:colOff>
      <xdr:row>11</xdr:row>
      <xdr:rowOff>67732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9066" y="812800"/>
          <a:ext cx="6521602" cy="198119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20</xdr:row>
      <xdr:rowOff>165100</xdr:rowOff>
    </xdr:from>
    <xdr:to>
      <xdr:col>10</xdr:col>
      <xdr:colOff>0</xdr:colOff>
      <xdr:row>28</xdr:row>
      <xdr:rowOff>12700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917223</xdr:colOff>
      <xdr:row>35</xdr:row>
      <xdr:rowOff>183440</xdr:rowOff>
    </xdr:from>
    <xdr:to>
      <xdr:col>7</xdr:col>
      <xdr:colOff>889001</xdr:colOff>
      <xdr:row>38</xdr:row>
      <xdr:rowOff>437441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1473199</xdr:colOff>
      <xdr:row>50</xdr:row>
      <xdr:rowOff>67733</xdr:rowOff>
    </xdr:from>
    <xdr:to>
      <xdr:col>10</xdr:col>
      <xdr:colOff>846667</xdr:colOff>
      <xdr:row>70</xdr:row>
      <xdr:rowOff>135465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</xdr:col>
      <xdr:colOff>270932</xdr:colOff>
      <xdr:row>50</xdr:row>
      <xdr:rowOff>84667</xdr:rowOff>
    </xdr:from>
    <xdr:ext cx="5706534" cy="400110"/>
    <xdr:sp macro="" textlink="">
      <xdr:nvSpPr>
        <xdr:cNvPr id="9" name="ZoneTexte 8"/>
        <xdr:cNvSpPr txBox="1"/>
      </xdr:nvSpPr>
      <xdr:spPr>
        <a:xfrm>
          <a:off x="5164665" y="15375467"/>
          <a:ext cx="5706534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000" b="1" i="1"/>
            <a:t>Gains</a:t>
          </a:r>
          <a:r>
            <a:rPr lang="fr-FR" sz="2000" b="1" i="1" baseline="0"/>
            <a:t> potentiels cumulés en euros par point gagné</a:t>
          </a:r>
          <a:endParaRPr lang="fr-FR" sz="2000" b="1" i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1587500</xdr:colOff>
      <xdr:row>11</xdr:row>
      <xdr:rowOff>50800</xdr:rowOff>
    </xdr:from>
    <xdr:to>
      <xdr:col>16</xdr:col>
      <xdr:colOff>342900</xdr:colOff>
      <xdr:row>32</xdr:row>
      <xdr:rowOff>177800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1231900</xdr:colOff>
      <xdr:row>20</xdr:row>
      <xdr:rowOff>47584</xdr:rowOff>
    </xdr:from>
    <xdr:to>
      <xdr:col>10</xdr:col>
      <xdr:colOff>749300</xdr:colOff>
      <xdr:row>24</xdr:row>
      <xdr:rowOff>170383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09600" y="4187784"/>
          <a:ext cx="2921000" cy="884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21</xdr:col>
      <xdr:colOff>927100</xdr:colOff>
      <xdr:row>29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1587500</xdr:colOff>
      <xdr:row>15</xdr:row>
      <xdr:rowOff>152400</xdr:rowOff>
    </xdr:from>
    <xdr:to>
      <xdr:col>12</xdr:col>
      <xdr:colOff>114300</xdr:colOff>
      <xdr:row>20</xdr:row>
      <xdr:rowOff>84699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76400" y="3200400"/>
          <a:ext cx="2921000" cy="884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P2Vconseils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81"/>
  <sheetViews>
    <sheetView windowProtection="1" tabSelected="1" zoomScale="75" zoomScaleNormal="75" zoomScalePageLayoutView="75" workbookViewId="0">
      <selection activeCell="F24" sqref="F24"/>
    </sheetView>
  </sheetViews>
  <sheetFormatPr baseColWidth="10" defaultRowHeight="16" x14ac:dyDescent="0"/>
  <cols>
    <col min="1" max="1" width="7.33203125" style="65" customWidth="1"/>
    <col min="2" max="2" width="25.5" style="65" customWidth="1"/>
    <col min="3" max="3" width="14.33203125" style="65" customWidth="1"/>
    <col min="4" max="4" width="13" style="65" customWidth="1"/>
    <col min="5" max="5" width="26.1640625" style="65" customWidth="1"/>
    <col min="6" max="6" width="28.5" style="65" customWidth="1"/>
    <col min="7" max="7" width="25.33203125" style="65" customWidth="1"/>
    <col min="8" max="8" width="16" style="65" customWidth="1"/>
    <col min="9" max="9" width="13" style="65" customWidth="1"/>
    <col min="10" max="10" width="13.83203125" style="65" customWidth="1"/>
    <col min="11" max="11" width="32.5" style="65" customWidth="1"/>
    <col min="12" max="12" width="19.1640625" style="65" customWidth="1"/>
    <col min="13" max="13" width="17.1640625" style="65" customWidth="1"/>
    <col min="14" max="14" width="23.33203125" style="65" customWidth="1"/>
    <col min="15" max="16384" width="10.83203125" style="65"/>
  </cols>
  <sheetData>
    <row r="2" spans="1:14" ht="30">
      <c r="A2" s="65" t="s">
        <v>62</v>
      </c>
      <c r="F2" s="103" t="s">
        <v>63</v>
      </c>
    </row>
    <row r="6" spans="1:14" ht="23">
      <c r="B6" s="107" t="s">
        <v>77</v>
      </c>
    </row>
    <row r="9" spans="1:14" ht="33">
      <c r="B9" s="98" t="s">
        <v>98</v>
      </c>
      <c r="C9" s="97" t="s">
        <v>97</v>
      </c>
    </row>
    <row r="14" spans="1:14">
      <c r="B14" s="121" t="s">
        <v>90</v>
      </c>
      <c r="C14" s="122"/>
      <c r="D14" s="122"/>
      <c r="E14" s="122"/>
      <c r="F14" s="122"/>
      <c r="G14" s="122"/>
      <c r="H14" s="122"/>
      <c r="I14" s="122"/>
      <c r="J14" s="122"/>
      <c r="K14" s="123"/>
      <c r="L14" s="130" t="s">
        <v>74</v>
      </c>
      <c r="M14" s="130"/>
      <c r="N14" s="131"/>
    </row>
    <row r="15" spans="1:14">
      <c r="B15" s="124"/>
      <c r="C15" s="125"/>
      <c r="D15" s="125"/>
      <c r="E15" s="125"/>
      <c r="F15" s="125"/>
      <c r="G15" s="125"/>
      <c r="H15" s="125"/>
      <c r="I15" s="125"/>
      <c r="J15" s="125"/>
      <c r="K15" s="126"/>
      <c r="L15" s="132"/>
      <c r="M15" s="132"/>
      <c r="N15" s="133"/>
    </row>
    <row r="16" spans="1:14">
      <c r="B16" s="124"/>
      <c r="C16" s="125"/>
      <c r="D16" s="125"/>
      <c r="E16" s="125"/>
      <c r="F16" s="125"/>
      <c r="G16" s="125"/>
      <c r="H16" s="125"/>
      <c r="I16" s="125"/>
      <c r="J16" s="125"/>
      <c r="K16" s="126"/>
      <c r="L16" s="132"/>
      <c r="M16" s="132"/>
      <c r="N16" s="133"/>
    </row>
    <row r="17" spans="2:14">
      <c r="B17" s="127"/>
      <c r="C17" s="128"/>
      <c r="D17" s="128"/>
      <c r="E17" s="128"/>
      <c r="F17" s="128"/>
      <c r="G17" s="128"/>
      <c r="H17" s="128"/>
      <c r="I17" s="128"/>
      <c r="J17" s="128"/>
      <c r="K17" s="129"/>
      <c r="L17" s="134"/>
      <c r="M17" s="134"/>
      <c r="N17" s="135"/>
    </row>
    <row r="18" spans="2:14" ht="21">
      <c r="B18" s="73" t="s">
        <v>106</v>
      </c>
      <c r="C18" s="67"/>
      <c r="D18" s="67"/>
      <c r="E18" s="67"/>
      <c r="F18" s="67"/>
      <c r="G18" s="67"/>
      <c r="H18" s="74"/>
      <c r="I18" s="74"/>
      <c r="J18" s="74"/>
      <c r="K18" s="68"/>
      <c r="L18" s="67"/>
      <c r="M18" s="67"/>
      <c r="N18" s="68"/>
    </row>
    <row r="19" spans="2:14" ht="18">
      <c r="B19" s="66"/>
      <c r="C19" s="67"/>
      <c r="D19" s="67"/>
      <c r="E19" s="67"/>
      <c r="F19" s="67"/>
      <c r="G19" s="93" t="s">
        <v>69</v>
      </c>
      <c r="H19" s="99" t="s">
        <v>71</v>
      </c>
      <c r="I19" s="99" t="s">
        <v>72</v>
      </c>
      <c r="J19" s="99" t="s">
        <v>73</v>
      </c>
      <c r="K19" s="68"/>
      <c r="L19" s="67"/>
      <c r="M19" s="67"/>
      <c r="N19" s="68"/>
    </row>
    <row r="20" spans="2:14" ht="46" customHeight="1">
      <c r="B20" s="104" t="s">
        <v>67</v>
      </c>
      <c r="C20" s="67"/>
      <c r="D20" s="67"/>
      <c r="F20" s="108">
        <v>50</v>
      </c>
      <c r="H20" s="111">
        <v>0.6</v>
      </c>
      <c r="I20" s="111">
        <v>0.25</v>
      </c>
      <c r="J20" s="111">
        <v>0.15</v>
      </c>
      <c r="K20" s="106">
        <f>SUM(H20:J20)</f>
        <v>1</v>
      </c>
      <c r="L20" s="136" t="s">
        <v>92</v>
      </c>
      <c r="M20" s="137"/>
      <c r="N20" s="138"/>
    </row>
    <row r="21" spans="2:14" ht="21">
      <c r="B21" s="105"/>
      <c r="C21" s="67"/>
      <c r="D21" s="67"/>
      <c r="E21" s="67"/>
      <c r="F21" s="85"/>
      <c r="G21" s="67"/>
      <c r="H21" s="67"/>
      <c r="I21" s="67"/>
      <c r="J21" s="67"/>
      <c r="K21" s="68"/>
      <c r="L21" s="67"/>
      <c r="M21" s="67"/>
      <c r="N21" s="68"/>
    </row>
    <row r="22" spans="2:14" ht="42" customHeight="1">
      <c r="B22" s="104" t="s">
        <v>75</v>
      </c>
      <c r="C22" s="67"/>
      <c r="D22" s="67"/>
      <c r="E22" s="67"/>
      <c r="F22" s="109">
        <v>5000000</v>
      </c>
      <c r="G22" s="67"/>
      <c r="H22" s="67"/>
      <c r="I22" s="67"/>
      <c r="J22" s="67"/>
      <c r="K22" s="68"/>
      <c r="L22" s="136" t="s">
        <v>88</v>
      </c>
      <c r="M22" s="137"/>
      <c r="N22" s="138"/>
    </row>
    <row r="23" spans="2:14" ht="21">
      <c r="B23" s="105"/>
      <c r="C23" s="67"/>
      <c r="D23" s="67"/>
      <c r="E23" s="67"/>
      <c r="F23" s="85"/>
      <c r="G23" s="67"/>
      <c r="H23" s="67"/>
      <c r="I23" s="67"/>
      <c r="J23" s="67"/>
      <c r="K23" s="68"/>
      <c r="L23" s="67"/>
      <c r="M23" s="67"/>
      <c r="N23" s="68"/>
    </row>
    <row r="24" spans="2:14" ht="33" customHeight="1">
      <c r="B24" s="104" t="s">
        <v>68</v>
      </c>
      <c r="C24" s="67"/>
      <c r="D24" s="67"/>
      <c r="E24" s="67"/>
      <c r="F24" s="108">
        <v>17</v>
      </c>
      <c r="G24" s="67"/>
      <c r="H24" s="67"/>
      <c r="I24" s="67"/>
      <c r="J24" s="67"/>
      <c r="K24" s="68"/>
      <c r="L24" s="67"/>
      <c r="M24" s="67"/>
      <c r="N24" s="68"/>
    </row>
    <row r="25" spans="2:14" ht="21">
      <c r="B25" s="105"/>
      <c r="C25" s="67"/>
      <c r="D25" s="67"/>
      <c r="E25" s="67"/>
      <c r="F25" s="85"/>
      <c r="G25" s="67"/>
      <c r="H25" s="67"/>
      <c r="I25" s="67"/>
      <c r="J25" s="67"/>
      <c r="K25" s="68"/>
      <c r="L25" s="67"/>
      <c r="M25" s="67"/>
      <c r="N25" s="68"/>
    </row>
    <row r="26" spans="2:14" ht="32" customHeight="1">
      <c r="B26" s="104" t="s">
        <v>70</v>
      </c>
      <c r="C26" s="67"/>
      <c r="D26" s="67"/>
      <c r="E26" s="67"/>
      <c r="F26" s="110">
        <v>0.15</v>
      </c>
      <c r="G26" s="67"/>
      <c r="H26" s="67"/>
      <c r="I26" s="67"/>
      <c r="J26" s="67"/>
      <c r="K26" s="68"/>
      <c r="L26" s="67"/>
      <c r="M26" s="67"/>
      <c r="N26" s="68"/>
    </row>
    <row r="27" spans="2:14">
      <c r="B27" s="66"/>
      <c r="C27" s="67"/>
      <c r="D27" s="67"/>
      <c r="E27" s="67"/>
      <c r="F27" s="67"/>
      <c r="G27" s="67"/>
      <c r="H27" s="67"/>
      <c r="I27" s="67"/>
      <c r="J27" s="67"/>
      <c r="K27" s="68"/>
      <c r="L27" s="67"/>
      <c r="M27" s="67"/>
      <c r="N27" s="68"/>
    </row>
    <row r="28" spans="2:14">
      <c r="B28" s="66"/>
      <c r="C28" s="67"/>
      <c r="D28" s="67"/>
      <c r="E28" s="67"/>
      <c r="F28" s="67"/>
      <c r="G28" s="67"/>
      <c r="H28" s="67"/>
      <c r="I28" s="67"/>
      <c r="J28" s="67"/>
      <c r="K28" s="68"/>
      <c r="L28" s="67"/>
      <c r="M28" s="67"/>
      <c r="N28" s="68"/>
    </row>
    <row r="29" spans="2:14">
      <c r="B29" s="66"/>
      <c r="C29" s="67"/>
      <c r="D29" s="67"/>
      <c r="E29" s="67"/>
      <c r="F29" s="67"/>
      <c r="G29" s="67"/>
      <c r="H29" s="67"/>
      <c r="I29" s="67"/>
      <c r="J29" s="67"/>
      <c r="K29" s="68"/>
      <c r="L29" s="67"/>
      <c r="M29" s="67"/>
      <c r="N29" s="68"/>
    </row>
    <row r="30" spans="2:14">
      <c r="B30" s="148" t="s">
        <v>89</v>
      </c>
      <c r="C30" s="149"/>
      <c r="D30" s="149"/>
      <c r="E30" s="149"/>
      <c r="F30" s="149"/>
      <c r="G30" s="149"/>
      <c r="H30" s="149"/>
      <c r="I30" s="149"/>
      <c r="J30" s="149"/>
      <c r="K30" s="150"/>
      <c r="L30" s="67"/>
      <c r="M30" s="67"/>
      <c r="N30" s="68"/>
    </row>
    <row r="31" spans="2:14">
      <c r="B31" s="151"/>
      <c r="C31" s="152"/>
      <c r="D31" s="152"/>
      <c r="E31" s="152"/>
      <c r="F31" s="152"/>
      <c r="G31" s="152"/>
      <c r="H31" s="152"/>
      <c r="I31" s="152"/>
      <c r="J31" s="152"/>
      <c r="K31" s="153"/>
      <c r="L31" s="67"/>
      <c r="M31" s="67"/>
      <c r="N31" s="68"/>
    </row>
    <row r="32" spans="2:14">
      <c r="B32" s="151"/>
      <c r="C32" s="152"/>
      <c r="D32" s="152"/>
      <c r="E32" s="152"/>
      <c r="F32" s="152"/>
      <c r="G32" s="152"/>
      <c r="H32" s="152"/>
      <c r="I32" s="152"/>
      <c r="J32" s="152"/>
      <c r="K32" s="153"/>
      <c r="L32" s="67"/>
      <c r="M32" s="67"/>
      <c r="N32" s="68"/>
    </row>
    <row r="33" spans="2:14">
      <c r="B33" s="154"/>
      <c r="C33" s="155"/>
      <c r="D33" s="155"/>
      <c r="E33" s="155"/>
      <c r="F33" s="155"/>
      <c r="G33" s="155"/>
      <c r="H33" s="155"/>
      <c r="I33" s="155"/>
      <c r="J33" s="155"/>
      <c r="K33" s="156"/>
      <c r="L33" s="67"/>
      <c r="M33" s="67"/>
      <c r="N33" s="68"/>
    </row>
    <row r="34" spans="2:14" ht="23">
      <c r="B34" s="75"/>
      <c r="C34" s="76"/>
      <c r="D34" s="76"/>
      <c r="E34" s="76"/>
      <c r="F34" s="76"/>
      <c r="G34" s="76"/>
      <c r="H34" s="76"/>
      <c r="I34" s="76"/>
      <c r="J34" s="76"/>
      <c r="K34" s="77"/>
      <c r="L34" s="67"/>
      <c r="M34" s="67"/>
      <c r="N34" s="68"/>
    </row>
    <row r="35" spans="2:14" ht="28">
      <c r="B35" s="75"/>
      <c r="C35" s="76"/>
      <c r="D35" s="76"/>
      <c r="E35" s="76"/>
      <c r="F35" s="76"/>
      <c r="G35" s="79" t="s">
        <v>93</v>
      </c>
      <c r="I35" s="157">
        <f>E36+E38</f>
        <v>449404</v>
      </c>
      <c r="J35" s="158"/>
      <c r="K35" s="77"/>
      <c r="L35" s="67"/>
      <c r="M35" s="67"/>
      <c r="N35" s="68"/>
    </row>
    <row r="36" spans="2:14" ht="61" customHeight="1">
      <c r="B36" s="84" t="s">
        <v>102</v>
      </c>
      <c r="C36" s="67"/>
      <c r="D36" s="67"/>
      <c r="E36" s="94">
        <f>ROUND('Absentéisme 1'!C38,0)</f>
        <v>151119</v>
      </c>
      <c r="H36" s="76"/>
      <c r="K36" s="77"/>
      <c r="L36" s="136"/>
      <c r="M36" s="137"/>
      <c r="N36" s="138"/>
    </row>
    <row r="37" spans="2:14" ht="23">
      <c r="B37" s="75"/>
      <c r="C37" s="76"/>
      <c r="D37" s="76"/>
      <c r="E37" s="76"/>
      <c r="F37" s="76"/>
      <c r="G37" s="76"/>
      <c r="H37" s="76"/>
      <c r="I37" s="76" t="s">
        <v>85</v>
      </c>
      <c r="J37" s="89">
        <f>'Calculs inter'!H3</f>
        <v>0.18944312526987458</v>
      </c>
      <c r="K37" s="90" t="s">
        <v>86</v>
      </c>
      <c r="L37" s="67"/>
      <c r="M37" s="67"/>
      <c r="N37" s="68"/>
    </row>
    <row r="38" spans="2:14" ht="62" customHeight="1">
      <c r="B38" s="84" t="s">
        <v>103</v>
      </c>
      <c r="C38" s="76"/>
      <c r="D38" s="76"/>
      <c r="E38" s="94">
        <f>ROUND('turnover cas 1'!C67,0)</f>
        <v>298285</v>
      </c>
      <c r="H38" s="76"/>
      <c r="J38" s="91">
        <f>'Calculs inter'!G3</f>
        <v>8.9880829976689974E-2</v>
      </c>
      <c r="K38" s="92" t="s">
        <v>87</v>
      </c>
      <c r="L38" s="136"/>
      <c r="M38" s="137"/>
      <c r="N38" s="138"/>
    </row>
    <row r="39" spans="2:14" ht="62" customHeight="1">
      <c r="B39" s="78"/>
      <c r="C39" s="76"/>
      <c r="D39" s="76"/>
      <c r="E39" s="80"/>
      <c r="H39" s="76"/>
      <c r="K39" s="77"/>
      <c r="L39" s="81"/>
      <c r="M39" s="81"/>
      <c r="N39" s="82"/>
    </row>
    <row r="40" spans="2:14">
      <c r="B40" s="139" t="s">
        <v>105</v>
      </c>
      <c r="C40" s="140"/>
      <c r="D40" s="140"/>
      <c r="E40" s="140"/>
      <c r="F40" s="140"/>
      <c r="G40" s="140"/>
      <c r="H40" s="140"/>
      <c r="I40" s="140"/>
      <c r="J40" s="140"/>
      <c r="K40" s="141"/>
      <c r="L40" s="67"/>
      <c r="M40" s="67"/>
      <c r="N40" s="68"/>
    </row>
    <row r="41" spans="2:14">
      <c r="B41" s="142"/>
      <c r="C41" s="143"/>
      <c r="D41" s="143"/>
      <c r="E41" s="143"/>
      <c r="F41" s="143"/>
      <c r="G41" s="143"/>
      <c r="H41" s="143"/>
      <c r="I41" s="143"/>
      <c r="J41" s="143"/>
      <c r="K41" s="144"/>
      <c r="L41" s="67"/>
      <c r="M41" s="67"/>
      <c r="N41" s="68"/>
    </row>
    <row r="42" spans="2:14">
      <c r="B42" s="142"/>
      <c r="C42" s="143"/>
      <c r="D42" s="143"/>
      <c r="E42" s="143"/>
      <c r="F42" s="143"/>
      <c r="G42" s="143"/>
      <c r="H42" s="143"/>
      <c r="I42" s="143"/>
      <c r="J42" s="143"/>
      <c r="K42" s="144"/>
      <c r="L42" s="67"/>
      <c r="M42" s="67"/>
      <c r="N42" s="68"/>
    </row>
    <row r="43" spans="2:14"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67"/>
      <c r="M43" s="67"/>
      <c r="N43" s="68"/>
    </row>
    <row r="44" spans="2:14" ht="23">
      <c r="B44" s="75"/>
      <c r="C44" s="76"/>
      <c r="D44" s="76"/>
      <c r="E44" s="76"/>
      <c r="F44" s="76"/>
      <c r="G44" s="76"/>
      <c r="H44" s="76"/>
      <c r="I44" s="76"/>
      <c r="J44" s="76"/>
      <c r="K44" s="77"/>
      <c r="L44" s="67"/>
      <c r="M44" s="67"/>
      <c r="N44" s="68"/>
    </row>
    <row r="45" spans="2:14" ht="23">
      <c r="B45" s="75"/>
      <c r="C45" s="76"/>
      <c r="D45" s="76"/>
      <c r="E45" s="76"/>
      <c r="F45" s="76"/>
      <c r="G45" s="76"/>
      <c r="I45" s="76"/>
      <c r="J45" s="76"/>
      <c r="K45" s="77"/>
      <c r="L45" s="67"/>
      <c r="M45" s="67"/>
      <c r="N45" s="68"/>
    </row>
    <row r="46" spans="2:14" ht="61" customHeight="1">
      <c r="B46" s="86" t="s">
        <v>94</v>
      </c>
      <c r="C46" s="67"/>
      <c r="D46" s="67"/>
      <c r="G46" s="95">
        <f>ROUND('Absentéisme 1'!C62,0)</f>
        <v>8889</v>
      </c>
      <c r="H46" s="76"/>
      <c r="I46" s="161" t="s">
        <v>91</v>
      </c>
      <c r="J46" s="161"/>
      <c r="K46" s="162"/>
      <c r="L46" s="136" t="s">
        <v>96</v>
      </c>
      <c r="M46" s="137"/>
      <c r="N46" s="138"/>
    </row>
    <row r="47" spans="2:14" ht="23">
      <c r="B47" s="75"/>
      <c r="C47" s="76"/>
      <c r="D47" s="76"/>
      <c r="E47" s="76"/>
      <c r="F47" s="76"/>
      <c r="G47" s="76"/>
      <c r="H47" s="76"/>
      <c r="I47" s="76"/>
      <c r="J47" s="76"/>
      <c r="K47" s="77"/>
      <c r="L47" s="67"/>
      <c r="M47" s="67"/>
      <c r="N47" s="68"/>
    </row>
    <row r="48" spans="2:14" ht="62" customHeight="1">
      <c r="B48" s="86" t="s">
        <v>95</v>
      </c>
      <c r="C48" s="76"/>
      <c r="D48" s="76"/>
      <c r="E48" s="76"/>
      <c r="G48" s="95">
        <f>ROUND('turnover cas 1'!C74,0)</f>
        <v>13650</v>
      </c>
      <c r="H48" s="76"/>
      <c r="I48" s="159">
        <f>G48+G46</f>
        <v>22539</v>
      </c>
      <c r="J48" s="160"/>
      <c r="K48" s="77"/>
      <c r="L48" s="136" t="s">
        <v>76</v>
      </c>
      <c r="M48" s="137"/>
      <c r="N48" s="138"/>
    </row>
    <row r="49" spans="2:14" ht="23">
      <c r="B49" s="75"/>
      <c r="C49" s="76"/>
      <c r="D49" s="76"/>
      <c r="E49" s="76"/>
      <c r="F49" s="76"/>
      <c r="G49" s="76"/>
      <c r="H49" s="76"/>
      <c r="J49" s="76"/>
      <c r="K49" s="77"/>
      <c r="L49" s="67"/>
      <c r="M49" s="67"/>
      <c r="N49" s="68"/>
    </row>
    <row r="50" spans="2:14" ht="23">
      <c r="B50" s="75"/>
      <c r="C50" s="76"/>
      <c r="D50" s="76"/>
      <c r="E50" s="76"/>
      <c r="F50" s="76"/>
      <c r="G50" s="76"/>
      <c r="K50" s="77"/>
      <c r="L50" s="67"/>
      <c r="M50" s="67"/>
      <c r="N50" s="68"/>
    </row>
    <row r="51" spans="2:14" ht="23">
      <c r="B51" s="75"/>
      <c r="C51" s="76"/>
      <c r="D51" s="76"/>
      <c r="E51" s="76"/>
      <c r="F51" s="76"/>
      <c r="G51" s="76"/>
      <c r="H51" s="76"/>
      <c r="K51" s="77"/>
      <c r="L51" s="67"/>
      <c r="M51" s="67"/>
      <c r="N51" s="68"/>
    </row>
    <row r="52" spans="2:14" ht="40" customHeight="1">
      <c r="B52" s="69"/>
      <c r="C52" s="67"/>
      <c r="D52" s="67"/>
      <c r="G52" s="76"/>
      <c r="K52" s="68"/>
      <c r="L52" s="67"/>
      <c r="M52" s="67"/>
      <c r="N52" s="68"/>
    </row>
    <row r="53" spans="2:14" ht="23">
      <c r="B53" s="75"/>
      <c r="C53" s="76"/>
      <c r="D53" s="76"/>
      <c r="E53" s="76"/>
      <c r="F53" s="76"/>
      <c r="G53" s="76"/>
      <c r="H53" s="76"/>
      <c r="I53" s="76"/>
      <c r="J53" s="76"/>
      <c r="K53" s="77"/>
      <c r="L53" s="67"/>
      <c r="M53" s="67"/>
      <c r="N53" s="68"/>
    </row>
    <row r="54" spans="2:14" ht="23">
      <c r="B54" s="75"/>
      <c r="C54" s="76"/>
      <c r="D54" s="76"/>
      <c r="E54" s="76"/>
      <c r="F54" s="76"/>
      <c r="G54" s="76"/>
      <c r="H54" s="76"/>
      <c r="I54" s="76"/>
      <c r="J54" s="76"/>
      <c r="K54" s="77"/>
      <c r="L54" s="67"/>
      <c r="M54" s="67"/>
      <c r="N54" s="68"/>
    </row>
    <row r="55" spans="2:14" ht="23">
      <c r="B55" s="75"/>
      <c r="C55" s="76"/>
      <c r="D55" s="76"/>
      <c r="E55" s="76"/>
      <c r="F55" s="76"/>
      <c r="G55" s="76"/>
      <c r="H55" s="76"/>
      <c r="I55" s="76"/>
      <c r="J55" s="76"/>
      <c r="K55" s="77"/>
      <c r="L55" s="67"/>
      <c r="M55" s="67"/>
      <c r="N55" s="68"/>
    </row>
    <row r="56" spans="2:14" ht="23">
      <c r="B56" s="75"/>
      <c r="C56" s="76"/>
      <c r="D56" s="76"/>
      <c r="E56" s="76"/>
      <c r="F56" s="76"/>
      <c r="G56" s="76"/>
      <c r="H56" s="76"/>
      <c r="I56" s="76"/>
      <c r="J56" s="76"/>
      <c r="K56" s="77"/>
      <c r="L56" s="67"/>
      <c r="M56" s="67"/>
      <c r="N56" s="68"/>
    </row>
    <row r="57" spans="2:14" ht="23">
      <c r="B57" s="75"/>
      <c r="C57" s="76"/>
      <c r="D57" s="76"/>
      <c r="E57" s="76"/>
      <c r="F57" s="76"/>
      <c r="G57" s="76"/>
      <c r="H57" s="76"/>
      <c r="I57" s="76"/>
      <c r="J57" s="76"/>
      <c r="K57" s="77"/>
      <c r="L57" s="67"/>
      <c r="M57" s="67"/>
      <c r="N57" s="68"/>
    </row>
    <row r="58" spans="2:14" ht="23">
      <c r="B58" s="75"/>
      <c r="C58" s="76"/>
      <c r="D58" s="76"/>
      <c r="E58" s="76"/>
      <c r="F58" s="76"/>
      <c r="G58" s="76"/>
      <c r="H58" s="76"/>
      <c r="I58" s="76"/>
      <c r="J58" s="76"/>
      <c r="K58" s="77"/>
      <c r="L58" s="67"/>
      <c r="M58" s="67"/>
      <c r="N58" s="68"/>
    </row>
    <row r="59" spans="2:14" ht="23">
      <c r="B59" s="69"/>
      <c r="C59" s="76"/>
      <c r="D59" s="76"/>
      <c r="E59" s="76"/>
      <c r="F59" s="76"/>
      <c r="G59" s="76"/>
      <c r="H59" s="76"/>
      <c r="I59" s="76"/>
      <c r="J59" s="76"/>
      <c r="K59" s="77"/>
      <c r="L59" s="67"/>
      <c r="M59" s="67"/>
      <c r="N59" s="68"/>
    </row>
    <row r="60" spans="2:14" ht="23">
      <c r="B60" s="75"/>
      <c r="C60" s="76"/>
      <c r="D60" s="76"/>
      <c r="E60" s="76"/>
      <c r="F60" s="76"/>
      <c r="G60" s="76"/>
      <c r="H60" s="76"/>
      <c r="I60" s="76"/>
      <c r="J60" s="76"/>
      <c r="K60" s="77"/>
      <c r="L60" s="67"/>
      <c r="M60" s="67"/>
      <c r="N60" s="68"/>
    </row>
    <row r="61" spans="2:14" ht="23">
      <c r="B61" s="75"/>
      <c r="C61" s="76"/>
      <c r="D61" s="76"/>
      <c r="E61" s="76"/>
      <c r="F61" s="76"/>
      <c r="G61" s="76"/>
      <c r="H61" s="76"/>
      <c r="I61" s="76"/>
      <c r="J61" s="76"/>
      <c r="K61" s="77"/>
      <c r="L61" s="67"/>
      <c r="M61" s="67"/>
      <c r="N61" s="68"/>
    </row>
    <row r="62" spans="2:14" ht="23">
      <c r="B62" s="75"/>
      <c r="C62" s="76"/>
      <c r="D62" s="76"/>
      <c r="E62" s="76"/>
      <c r="F62" s="76"/>
      <c r="G62" s="76"/>
      <c r="H62" s="76"/>
      <c r="I62" s="76"/>
      <c r="J62" s="76"/>
      <c r="K62" s="77"/>
      <c r="L62" s="67"/>
      <c r="M62" s="67"/>
      <c r="N62" s="68"/>
    </row>
    <row r="63" spans="2:14" ht="23">
      <c r="B63" s="75"/>
      <c r="C63" s="76"/>
      <c r="D63" s="76"/>
      <c r="E63" s="76"/>
      <c r="F63" s="76"/>
      <c r="G63" s="76"/>
      <c r="H63" s="76"/>
      <c r="I63" s="76"/>
      <c r="J63" s="76"/>
      <c r="K63" s="77"/>
      <c r="L63" s="67"/>
      <c r="M63" s="67"/>
      <c r="N63" s="68"/>
    </row>
    <row r="64" spans="2:14" ht="23">
      <c r="B64" s="75"/>
      <c r="C64" s="76"/>
      <c r="D64" s="76"/>
      <c r="E64" s="76"/>
      <c r="F64" s="76"/>
      <c r="G64" s="76"/>
      <c r="H64" s="76"/>
      <c r="I64" s="76"/>
      <c r="J64" s="76"/>
      <c r="K64" s="77"/>
      <c r="L64" s="67"/>
      <c r="M64" s="67"/>
      <c r="N64" s="68"/>
    </row>
    <row r="65" spans="2:14" ht="23">
      <c r="B65" s="75"/>
      <c r="C65" s="76"/>
      <c r="D65" s="76"/>
      <c r="E65" s="76"/>
      <c r="F65" s="76"/>
      <c r="G65" s="76"/>
      <c r="H65" s="76"/>
      <c r="I65" s="76"/>
      <c r="J65" s="76"/>
      <c r="K65" s="77"/>
      <c r="L65" s="67"/>
      <c r="M65" s="67"/>
      <c r="N65" s="68"/>
    </row>
    <row r="66" spans="2:14" ht="23">
      <c r="B66" s="75"/>
      <c r="C66" s="76"/>
      <c r="D66" s="76"/>
      <c r="E66" s="76"/>
      <c r="F66" s="76"/>
      <c r="G66" s="76"/>
      <c r="H66" s="76"/>
      <c r="I66" s="76"/>
      <c r="J66" s="76"/>
      <c r="K66" s="77"/>
      <c r="L66" s="67"/>
      <c r="M66" s="67"/>
      <c r="N66" s="68"/>
    </row>
    <row r="67" spans="2:14" ht="23">
      <c r="B67" s="75"/>
      <c r="C67" s="76"/>
      <c r="D67" s="76"/>
      <c r="E67" s="76"/>
      <c r="F67" s="76"/>
      <c r="G67" s="76"/>
      <c r="H67" s="76"/>
      <c r="I67" s="76"/>
      <c r="J67" s="76"/>
      <c r="K67" s="77"/>
      <c r="L67" s="67"/>
      <c r="M67" s="67"/>
      <c r="N67" s="68"/>
    </row>
    <row r="68" spans="2:14" ht="23">
      <c r="B68" s="75"/>
      <c r="C68" s="76"/>
      <c r="D68" s="76"/>
      <c r="E68" s="76"/>
      <c r="F68" s="76"/>
      <c r="G68" s="76"/>
      <c r="H68" s="76"/>
      <c r="I68" s="76"/>
      <c r="J68" s="76"/>
      <c r="K68" s="77"/>
      <c r="L68" s="67"/>
      <c r="M68" s="67"/>
      <c r="N68" s="68"/>
    </row>
    <row r="69" spans="2:14" ht="23">
      <c r="B69" s="75"/>
      <c r="C69" s="76"/>
      <c r="D69" s="76"/>
      <c r="E69" s="76"/>
      <c r="F69" s="76"/>
      <c r="G69" s="76"/>
      <c r="H69" s="76"/>
      <c r="I69" s="76"/>
      <c r="J69" s="76"/>
      <c r="K69" s="77"/>
      <c r="L69" s="67"/>
      <c r="M69" s="67"/>
      <c r="N69" s="68"/>
    </row>
    <row r="70" spans="2:14" ht="23">
      <c r="B70" s="75"/>
      <c r="C70" s="76"/>
      <c r="D70" s="76"/>
      <c r="E70" s="76"/>
      <c r="F70" s="76"/>
      <c r="G70" s="76"/>
      <c r="H70" s="76"/>
      <c r="I70" s="76"/>
      <c r="J70" s="76"/>
      <c r="K70" s="77"/>
      <c r="L70" s="67"/>
      <c r="M70" s="67"/>
      <c r="N70" s="68"/>
    </row>
    <row r="71" spans="2:14" ht="23">
      <c r="B71" s="75"/>
      <c r="C71" s="76"/>
      <c r="D71" s="76"/>
      <c r="E71" s="76"/>
      <c r="F71" s="76"/>
      <c r="G71" s="76"/>
      <c r="H71" s="76"/>
      <c r="I71" s="76"/>
      <c r="J71" s="76"/>
      <c r="K71" s="77"/>
      <c r="L71" s="67"/>
      <c r="M71" s="67"/>
      <c r="N71" s="68"/>
    </row>
    <row r="72" spans="2:14" ht="23">
      <c r="B72" s="75"/>
      <c r="C72" s="76"/>
      <c r="D72" s="76"/>
      <c r="E72" s="76"/>
      <c r="F72" s="76"/>
      <c r="G72" s="76"/>
      <c r="H72" s="76"/>
      <c r="I72" s="76"/>
      <c r="J72" s="76"/>
      <c r="K72" s="77"/>
      <c r="L72" s="67"/>
      <c r="M72" s="67"/>
      <c r="N72" s="68"/>
    </row>
    <row r="73" spans="2:14" ht="23">
      <c r="B73" s="75"/>
      <c r="C73" s="76"/>
      <c r="D73" s="76"/>
      <c r="E73" s="76"/>
      <c r="F73" s="76"/>
      <c r="G73" s="76"/>
      <c r="H73" s="76"/>
      <c r="I73" s="76"/>
      <c r="J73" s="76"/>
      <c r="K73" s="77"/>
      <c r="L73" s="67"/>
      <c r="M73" s="67"/>
      <c r="N73" s="68"/>
    </row>
    <row r="74" spans="2:14" ht="30">
      <c r="B74" s="115" t="s">
        <v>100</v>
      </c>
      <c r="C74" s="116"/>
      <c r="D74" s="116"/>
      <c r="E74" s="116"/>
      <c r="F74" s="116"/>
      <c r="G74" s="116"/>
      <c r="H74" s="116"/>
      <c r="I74" s="116"/>
      <c r="J74" s="116"/>
      <c r="K74" s="117"/>
      <c r="L74" s="67"/>
      <c r="M74" s="67"/>
      <c r="N74" s="68"/>
    </row>
    <row r="75" spans="2:14" ht="33">
      <c r="B75" s="118" t="s">
        <v>101</v>
      </c>
      <c r="C75" s="119"/>
      <c r="D75" s="119"/>
      <c r="E75" s="119"/>
      <c r="F75" s="119"/>
      <c r="G75" s="119"/>
      <c r="H75" s="119"/>
      <c r="I75" s="119"/>
      <c r="J75" s="119"/>
      <c r="K75" s="120"/>
      <c r="L75" s="67"/>
      <c r="M75" s="67"/>
      <c r="N75" s="68"/>
    </row>
    <row r="76" spans="2:14" ht="33">
      <c r="B76" s="100"/>
      <c r="C76" s="101"/>
      <c r="D76" s="101"/>
      <c r="E76" s="101"/>
      <c r="F76" s="101"/>
      <c r="G76" s="101"/>
      <c r="H76" s="101"/>
      <c r="I76" s="101"/>
      <c r="J76" s="101"/>
      <c r="K76" s="102"/>
      <c r="L76" s="67"/>
      <c r="M76" s="67"/>
      <c r="N76" s="68"/>
    </row>
    <row r="77" spans="2:14" ht="33">
      <c r="B77" s="118" t="s">
        <v>99</v>
      </c>
      <c r="C77" s="119"/>
      <c r="D77" s="119"/>
      <c r="E77" s="119"/>
      <c r="F77" s="119"/>
      <c r="G77" s="119"/>
      <c r="H77" s="119"/>
      <c r="I77" s="119"/>
      <c r="J77" s="119"/>
      <c r="K77" s="120"/>
      <c r="L77" s="67"/>
      <c r="M77" s="67"/>
      <c r="N77" s="68"/>
    </row>
    <row r="78" spans="2:14" ht="23">
      <c r="B78" s="75"/>
      <c r="C78" s="76"/>
      <c r="D78" s="76"/>
      <c r="E78" s="76"/>
      <c r="F78" s="76"/>
      <c r="G78" s="76"/>
      <c r="H78" s="76"/>
      <c r="I78" s="76"/>
      <c r="J78" s="76"/>
      <c r="K78" s="77"/>
      <c r="L78" s="67"/>
      <c r="M78" s="67"/>
      <c r="N78" s="68"/>
    </row>
    <row r="79" spans="2:14" ht="23">
      <c r="B79" s="75"/>
      <c r="C79" s="76"/>
      <c r="D79" s="76"/>
      <c r="E79" s="76"/>
      <c r="F79" s="76"/>
      <c r="G79" s="76"/>
      <c r="H79" s="76"/>
      <c r="I79" s="76"/>
      <c r="J79" s="76"/>
      <c r="K79" s="77"/>
      <c r="L79" s="67"/>
      <c r="M79" s="67"/>
      <c r="N79" s="68"/>
    </row>
    <row r="80" spans="2:14" ht="18">
      <c r="B80" s="112" t="s">
        <v>104</v>
      </c>
      <c r="C80" s="113"/>
      <c r="D80" s="113"/>
      <c r="E80" s="113"/>
      <c r="F80" s="113"/>
      <c r="G80" s="113"/>
      <c r="H80" s="113"/>
      <c r="I80" s="113"/>
      <c r="J80" s="113"/>
      <c r="K80" s="114"/>
      <c r="L80" s="67"/>
      <c r="M80" s="67"/>
      <c r="N80" s="68"/>
    </row>
    <row r="81" spans="2:14">
      <c r="B81" s="70"/>
      <c r="C81" s="71"/>
      <c r="D81" s="71"/>
      <c r="E81" s="71"/>
      <c r="F81" s="71"/>
      <c r="G81" s="71"/>
      <c r="H81" s="71"/>
      <c r="I81" s="71"/>
      <c r="J81" s="71"/>
      <c r="K81" s="72"/>
      <c r="L81" s="71"/>
      <c r="M81" s="71"/>
      <c r="N81" s="72"/>
    </row>
  </sheetData>
  <sheetProtection password="AB5B" sheet="1" objects="1" scenarios="1" selectLockedCells="1"/>
  <mergeCells count="17">
    <mergeCell ref="L14:N17"/>
    <mergeCell ref="L22:N22"/>
    <mergeCell ref="L20:N20"/>
    <mergeCell ref="B40:K43"/>
    <mergeCell ref="L48:N48"/>
    <mergeCell ref="L46:N46"/>
    <mergeCell ref="B30:K33"/>
    <mergeCell ref="L36:N36"/>
    <mergeCell ref="L38:N38"/>
    <mergeCell ref="I35:J35"/>
    <mergeCell ref="I48:J48"/>
    <mergeCell ref="I46:K46"/>
    <mergeCell ref="B80:K80"/>
    <mergeCell ref="B74:K74"/>
    <mergeCell ref="B75:K75"/>
    <mergeCell ref="B77:K77"/>
    <mergeCell ref="B14:K17"/>
  </mergeCells>
  <phoneticPr fontId="30" type="noConversion"/>
  <conditionalFormatting sqref="K20">
    <cfRule type="cellIs" dxfId="1" priority="1" operator="notEqual">
      <formula>1</formula>
    </cfRule>
    <cfRule type="cellIs" dxfId="0" priority="2" operator="equal">
      <formula>100%</formula>
    </cfRule>
  </conditionalFormatting>
  <hyperlinks>
    <hyperlink ref="C9" r:id="rId1"/>
  </hyperlinks>
  <pageMargins left="0.75000000000000011" right="0.75000000000000011" top="1" bottom="1" header="0.5" footer="0.5"/>
  <pageSetup paperSize="9" scale="29" orientation="portrait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'Calculs inter'!C2:C18</xm:f>
          </x14:formula1>
          <xm:sqref>H20</xm:sqref>
        </x14:dataValidation>
        <x14:dataValidation type="list" allowBlank="1" showInputMessage="1" showErrorMessage="1">
          <x14:formula1>
            <xm:f>'Calculs inter'!C2:C18</xm:f>
          </x14:formula1>
          <xm:sqref>I20</xm:sqref>
        </x14:dataValidation>
        <x14:dataValidation type="list" allowBlank="1" showInputMessage="1" showErrorMessage="1">
          <x14:formula1>
            <xm:f>'Calculs inter'!C2:C18</xm:f>
          </x14:formula1>
          <xm:sqref>J20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A77"/>
  <sheetViews>
    <sheetView windowProtection="1" topLeftCell="A51" workbookViewId="0">
      <selection activeCell="H65" sqref="H65"/>
    </sheetView>
  </sheetViews>
  <sheetFormatPr baseColWidth="10" defaultRowHeight="15" x14ac:dyDescent="0"/>
  <cols>
    <col min="2" max="2" width="55.1640625" customWidth="1"/>
    <col min="3" max="3" width="16.33203125" customWidth="1"/>
    <col min="4" max="4" width="18.5" customWidth="1"/>
    <col min="5" max="5" width="14.33203125" customWidth="1"/>
    <col min="6" max="6" width="13" customWidth="1"/>
    <col min="7" max="7" width="12.1640625" bestFit="1" customWidth="1"/>
    <col min="8" max="23" width="22.33203125" customWidth="1"/>
    <col min="24" max="24" width="15.5" bestFit="1" customWidth="1"/>
    <col min="25" max="26" width="15.83203125" customWidth="1"/>
    <col min="27" max="27" width="14.83203125" customWidth="1"/>
    <col min="28" max="28" width="16" customWidth="1"/>
    <col min="29" max="29" width="18.33203125" customWidth="1"/>
    <col min="30" max="30" width="14.33203125" customWidth="1"/>
    <col min="31" max="31" width="14.5" customWidth="1"/>
    <col min="32" max="32" width="13.83203125" customWidth="1"/>
    <col min="33" max="33" width="17.1640625" customWidth="1"/>
    <col min="34" max="34" width="13.5" customWidth="1"/>
    <col min="35" max="35" width="15" customWidth="1"/>
    <col min="36" max="36" width="13.6640625" customWidth="1"/>
    <col min="37" max="37" width="13.83203125" customWidth="1"/>
    <col min="38" max="38" width="13.33203125" customWidth="1"/>
    <col min="39" max="39" width="16.1640625" customWidth="1"/>
    <col min="40" max="40" width="10.83203125" customWidth="1"/>
    <col min="41" max="41" width="13.6640625" customWidth="1"/>
    <col min="42" max="42" width="13.83203125" customWidth="1"/>
    <col min="43" max="43" width="14.1640625" customWidth="1"/>
    <col min="44" max="44" width="14.83203125" customWidth="1"/>
  </cols>
  <sheetData>
    <row r="3" spans="2:53">
      <c r="B3" t="s">
        <v>0</v>
      </c>
    </row>
    <row r="5" spans="2:53" ht="30">
      <c r="B5" s="3"/>
      <c r="C5" s="3"/>
      <c r="D5" s="33" t="s">
        <v>12</v>
      </c>
    </row>
    <row r="6" spans="2:53">
      <c r="B6" s="14" t="s">
        <v>1</v>
      </c>
      <c r="C6" s="14">
        <f>'ESTIMEZ VOS GAINS FACILEMENT'!F20</f>
        <v>50</v>
      </c>
      <c r="D6" s="3"/>
      <c r="H6" t="s">
        <v>43</v>
      </c>
      <c r="I6" s="1">
        <v>0.35</v>
      </c>
      <c r="J6" s="1">
        <v>0.34</v>
      </c>
      <c r="K6" s="1">
        <v>0.33</v>
      </c>
      <c r="L6" s="1">
        <v>0.32</v>
      </c>
      <c r="M6" s="1">
        <v>0.31</v>
      </c>
      <c r="N6" s="1">
        <v>0.3</v>
      </c>
      <c r="O6" s="1">
        <v>0.28999999999999998</v>
      </c>
      <c r="P6" s="1">
        <v>0.28000000000000003</v>
      </c>
      <c r="Q6" s="1">
        <v>0.27</v>
      </c>
      <c r="R6" s="1">
        <v>0.26</v>
      </c>
      <c r="S6" s="1">
        <v>0.25</v>
      </c>
      <c r="T6" s="1">
        <v>0.24</v>
      </c>
      <c r="U6" s="1">
        <v>0.23</v>
      </c>
      <c r="V6" s="1">
        <v>0.22</v>
      </c>
      <c r="W6" s="1">
        <v>0.21</v>
      </c>
      <c r="X6" s="1">
        <v>0.2</v>
      </c>
      <c r="Y6" s="1">
        <v>0.19</v>
      </c>
      <c r="Z6" s="1">
        <v>0.18</v>
      </c>
      <c r="AA6" s="1">
        <v>0.17</v>
      </c>
      <c r="AB6" s="1">
        <v>0.16</v>
      </c>
      <c r="AC6" s="1">
        <v>0.15</v>
      </c>
      <c r="AD6" s="1">
        <v>0.14000000000000001</v>
      </c>
      <c r="AE6" s="1">
        <v>0.13</v>
      </c>
      <c r="AF6" s="1">
        <v>0.12</v>
      </c>
      <c r="AG6" s="1">
        <v>0.11</v>
      </c>
      <c r="AH6" s="1">
        <v>0.1</v>
      </c>
      <c r="AI6" s="1">
        <v>0.09</v>
      </c>
      <c r="AJ6" s="1">
        <v>0.08</v>
      </c>
      <c r="AK6" s="1">
        <v>7.0000000000000007E-2</v>
      </c>
      <c r="AL6" s="1">
        <v>0.06</v>
      </c>
      <c r="AM6" s="1">
        <v>0.05</v>
      </c>
      <c r="AN6" s="1">
        <v>0.04</v>
      </c>
      <c r="AO6" s="1">
        <v>0.03</v>
      </c>
      <c r="AP6" s="1">
        <v>0.02</v>
      </c>
      <c r="AQ6" s="1">
        <v>0.01</v>
      </c>
      <c r="AR6" s="1">
        <v>0</v>
      </c>
    </row>
    <row r="7" spans="2:53">
      <c r="B7" s="16" t="s">
        <v>30</v>
      </c>
      <c r="C7" s="17">
        <v>80000</v>
      </c>
      <c r="D7" s="3"/>
      <c r="H7" t="s">
        <v>44</v>
      </c>
      <c r="I7" s="25">
        <f t="shared" ref="I7:W7" si="0">($C$67-(ROUND($C$10*$C$6*I6,1)*$C$58+ROUND($C$11*$C$6*I6,1)*$C$59+ROUND($C$12*$C$6*I6,1)*$C$60))</f>
        <v>-398913.3461538463</v>
      </c>
      <c r="J7" s="25">
        <f t="shared" si="0"/>
        <v>-385263.20512820518</v>
      </c>
      <c r="K7" s="25">
        <f t="shared" si="0"/>
        <v>-360822.71282051288</v>
      </c>
      <c r="L7" s="25">
        <f t="shared" si="0"/>
        <v>-339976.69487179496</v>
      </c>
      <c r="M7" s="25">
        <f t="shared" si="0"/>
        <v>-319130.67692307691</v>
      </c>
      <c r="N7" s="25">
        <f t="shared" si="0"/>
        <v>-305480.53589743591</v>
      </c>
      <c r="O7" s="25">
        <f t="shared" si="0"/>
        <v>-281040.04358974361</v>
      </c>
      <c r="P7" s="25">
        <f t="shared" si="0"/>
        <v>-260194.02564102568</v>
      </c>
      <c r="Q7" s="25">
        <f t="shared" si="0"/>
        <v>-239348.00769230776</v>
      </c>
      <c r="R7" s="25">
        <f t="shared" si="0"/>
        <v>-225697.8666666667</v>
      </c>
      <c r="S7" s="25">
        <f t="shared" si="0"/>
        <v>-201257.3743589744</v>
      </c>
      <c r="T7" s="25">
        <f t="shared" si="0"/>
        <v>-180411.35641025647</v>
      </c>
      <c r="U7" s="25">
        <f t="shared" si="0"/>
        <v>-159565.33846153849</v>
      </c>
      <c r="V7" s="25">
        <f t="shared" si="0"/>
        <v>-145915.19743589748</v>
      </c>
      <c r="W7" s="25">
        <f t="shared" si="0"/>
        <v>-121474.70512820518</v>
      </c>
      <c r="X7" s="25">
        <f>($C$67-(ROUND($C$10*$C$6*X6,1)*$C$58+ROUND($C$11*$C$6*X6,1)*$C$59+ROUND($C$12*$C$6*X6,1)*$C$60))</f>
        <v>-100628.6871794872</v>
      </c>
      <c r="Y7" s="25">
        <f t="shared" ref="Y7:AM7" si="1">($C$67-(ROUND($C$10*$C$6*Y6,1)*$C$58+ROUND($C$11*$C$6*Y6,1)*$C$59+ROUND($C$12*$C$6*Y6,1)*$C$60))</f>
        <v>-79782.669230769272</v>
      </c>
      <c r="Z7" s="25">
        <f t="shared" si="1"/>
        <v>-66132.52820512827</v>
      </c>
      <c r="AA7" s="25">
        <f t="shared" si="1"/>
        <v>-41692.035897435911</v>
      </c>
      <c r="AB7" s="25">
        <f t="shared" si="1"/>
        <v>-20846.017948717985</v>
      </c>
      <c r="AC7" s="25">
        <f t="shared" si="1"/>
        <v>0</v>
      </c>
      <c r="AD7" s="25">
        <f t="shared" si="1"/>
        <v>13650.141025641002</v>
      </c>
      <c r="AE7" s="25">
        <f t="shared" si="1"/>
        <v>38090.633333333302</v>
      </c>
      <c r="AF7" s="25">
        <f t="shared" si="1"/>
        <v>58936.651282051258</v>
      </c>
      <c r="AG7" s="25">
        <f t="shared" si="1"/>
        <v>79782.669230769214</v>
      </c>
      <c r="AH7" s="25">
        <f t="shared" si="1"/>
        <v>93432.810256410245</v>
      </c>
      <c r="AI7" s="25">
        <f t="shared" si="1"/>
        <v>117873.30256410255</v>
      </c>
      <c r="AJ7" s="25">
        <f t="shared" si="1"/>
        <v>138719.3205128205</v>
      </c>
      <c r="AK7" s="25">
        <f t="shared" si="1"/>
        <v>159565.33846153846</v>
      </c>
      <c r="AL7" s="25">
        <f t="shared" si="1"/>
        <v>173215.47948717949</v>
      </c>
      <c r="AM7" s="25">
        <f t="shared" si="1"/>
        <v>197655.97179487179</v>
      </c>
      <c r="AN7" s="25">
        <f t="shared" ref="AN7:AR7" si="2">($C$67-(ROUND($C$10*$C$6*AN6,1)*$C$58+ROUND($C$11*$C$6*AN6,1)*$C$59+ROUND($C$12*$C$6*AN6,1)*$C$60))</f>
        <v>218501.98974358974</v>
      </c>
      <c r="AO7" s="25">
        <f t="shared" si="2"/>
        <v>239348.0076923077</v>
      </c>
      <c r="AP7" s="25">
        <f t="shared" si="2"/>
        <v>252998.14871794873</v>
      </c>
      <c r="AQ7" s="25">
        <f t="shared" si="2"/>
        <v>277438.64102564106</v>
      </c>
      <c r="AR7" s="25">
        <f t="shared" si="2"/>
        <v>298284.65897435899</v>
      </c>
      <c r="AS7" s="25"/>
      <c r="AT7" s="25"/>
      <c r="AU7" s="25"/>
      <c r="AV7" s="25"/>
      <c r="AW7" s="25"/>
      <c r="AX7" s="25"/>
      <c r="AY7" s="25"/>
      <c r="AZ7" s="25"/>
      <c r="BA7" s="25"/>
    </row>
    <row r="8" spans="2:53">
      <c r="B8" s="18" t="s">
        <v>31</v>
      </c>
      <c r="C8" s="19">
        <f>'ESTIMEZ VOS GAINS FACILEMENT'!F22</f>
        <v>5000000</v>
      </c>
      <c r="D8" s="3"/>
    </row>
    <row r="9" spans="2:53">
      <c r="B9" s="14" t="s">
        <v>45</v>
      </c>
      <c r="C9" s="15">
        <f>'ESTIMEZ VOS GAINS FACILEMENT'!F26</f>
        <v>0.15</v>
      </c>
      <c r="D9" s="14">
        <f>SUM(D10:D12)</f>
        <v>7.5</v>
      </c>
    </row>
    <row r="10" spans="2:53">
      <c r="B10" s="4" t="s">
        <v>10</v>
      </c>
      <c r="C10" s="5">
        <f>'ESTIMEZ VOS GAINS FACILEMENT'!H20</f>
        <v>0.6</v>
      </c>
      <c r="D10" s="28">
        <f>ROUND(C10*$C$9*$C$6,1)</f>
        <v>4.5</v>
      </c>
    </row>
    <row r="11" spans="2:53">
      <c r="B11" s="4" t="s">
        <v>8</v>
      </c>
      <c r="C11" s="5">
        <f>'ESTIMEZ VOS GAINS FACILEMENT'!I20</f>
        <v>0.25</v>
      </c>
      <c r="D11" s="14">
        <f>ROUND(C11*$C$9*$C$6,1)</f>
        <v>1.9</v>
      </c>
    </row>
    <row r="12" spans="2:53">
      <c r="B12" s="4" t="s">
        <v>9</v>
      </c>
      <c r="C12" s="5">
        <f>'ESTIMEZ VOS GAINS FACILEMENT'!J20</f>
        <v>0.15</v>
      </c>
      <c r="D12" s="14">
        <f>ROUND(C12*$C$9*$C$6,1)</f>
        <v>1.1000000000000001</v>
      </c>
    </row>
    <row r="13" spans="2:53">
      <c r="B13" s="3"/>
      <c r="C13" s="3"/>
      <c r="D13" s="3"/>
    </row>
    <row r="14" spans="2:53">
      <c r="B14" s="3" t="s">
        <v>56</v>
      </c>
      <c r="C14" s="8">
        <f>ROUND(((1700*13)*1.85)/1600,0)</f>
        <v>26</v>
      </c>
      <c r="D14" s="3"/>
    </row>
    <row r="15" spans="2:53">
      <c r="B15" s="3" t="s">
        <v>28</v>
      </c>
      <c r="C15" s="8">
        <f>ROUND(((3500*13)*1.85)/1600,0)</f>
        <v>53</v>
      </c>
      <c r="D15" s="3"/>
    </row>
    <row r="16" spans="2:53">
      <c r="B16" s="3" t="s">
        <v>29</v>
      </c>
      <c r="C16" s="8">
        <f>ROUND(((7000*13)*1.85)/1600,0)</f>
        <v>105</v>
      </c>
      <c r="D16" s="3"/>
    </row>
    <row r="17" spans="2:7">
      <c r="B17" s="61" t="s">
        <v>64</v>
      </c>
      <c r="C17" s="87">
        <f>(((1600*(C14*C10*C6+C15*C11*C6+C16*C12*C6))/C8)/1.85)*1.23</f>
        <v>0.47444756756756756</v>
      </c>
      <c r="D17" s="63">
        <f>C17*C8</f>
        <v>2372237.8378378376</v>
      </c>
    </row>
    <row r="19" spans="2:7" ht="26" customHeight="1">
      <c r="B19" s="6" t="s">
        <v>57</v>
      </c>
      <c r="C19" s="10" t="s">
        <v>33</v>
      </c>
      <c r="D19" s="10" t="s">
        <v>32</v>
      </c>
      <c r="E19" s="10" t="s">
        <v>34</v>
      </c>
      <c r="F19" s="10" t="s">
        <v>7</v>
      </c>
      <c r="G19" s="20"/>
    </row>
    <row r="20" spans="2:7">
      <c r="B20" s="3" t="s">
        <v>2</v>
      </c>
      <c r="C20" s="10"/>
      <c r="D20" s="10"/>
      <c r="E20" s="10"/>
      <c r="F20" s="11"/>
    </row>
    <row r="21" spans="2:7">
      <c r="B21" s="12" t="s">
        <v>13</v>
      </c>
      <c r="C21" s="10">
        <f>8*5</f>
        <v>40</v>
      </c>
      <c r="D21" s="10">
        <v>4</v>
      </c>
      <c r="E21" s="10">
        <v>2</v>
      </c>
      <c r="F21" s="11">
        <f>C21*$C$14+D21*$C$15+E21*$C$16</f>
        <v>1462</v>
      </c>
    </row>
    <row r="22" spans="2:7">
      <c r="B22" s="12" t="s">
        <v>14</v>
      </c>
      <c r="C22" s="10">
        <f>8*5*1.5</f>
        <v>60</v>
      </c>
      <c r="D22" s="10">
        <v>15</v>
      </c>
      <c r="E22" s="10">
        <v>4</v>
      </c>
      <c r="F22" s="11">
        <f t="shared" ref="F22:F28" si="3">C22*$C$14+D22*$C$15+E22*$C$16</f>
        <v>2775</v>
      </c>
    </row>
    <row r="23" spans="2:7">
      <c r="B23" s="12" t="s">
        <v>15</v>
      </c>
      <c r="C23" s="10">
        <f>8*5*2</f>
        <v>80</v>
      </c>
      <c r="D23" s="10">
        <v>20</v>
      </c>
      <c r="E23" s="10">
        <v>10</v>
      </c>
      <c r="F23" s="11">
        <f t="shared" si="3"/>
        <v>4190</v>
      </c>
    </row>
    <row r="24" spans="2:7">
      <c r="B24" s="3"/>
      <c r="C24" s="10"/>
      <c r="D24" s="10"/>
      <c r="E24" s="10"/>
      <c r="F24" s="11"/>
    </row>
    <row r="25" spans="2:7">
      <c r="B25" s="3" t="s">
        <v>3</v>
      </c>
      <c r="C25" s="10"/>
      <c r="D25" s="10"/>
      <c r="E25" s="10"/>
      <c r="F25" s="11"/>
    </row>
    <row r="26" spans="2:7">
      <c r="B26" s="12" t="s">
        <v>13</v>
      </c>
      <c r="C26" s="10">
        <v>16</v>
      </c>
      <c r="D26" s="10">
        <v>8</v>
      </c>
      <c r="E26" s="10">
        <v>4</v>
      </c>
      <c r="F26" s="11">
        <f t="shared" si="3"/>
        <v>1260</v>
      </c>
    </row>
    <row r="27" spans="2:7">
      <c r="B27" s="12" t="s">
        <v>14</v>
      </c>
      <c r="C27" s="10">
        <v>16</v>
      </c>
      <c r="D27" s="10">
        <v>8</v>
      </c>
      <c r="E27" s="10">
        <v>4</v>
      </c>
      <c r="F27" s="11">
        <f t="shared" si="3"/>
        <v>1260</v>
      </c>
    </row>
    <row r="28" spans="2:7">
      <c r="B28" s="12" t="s">
        <v>15</v>
      </c>
      <c r="C28" s="10">
        <v>32</v>
      </c>
      <c r="D28" s="10">
        <v>10</v>
      </c>
      <c r="E28" s="10">
        <v>15</v>
      </c>
      <c r="F28" s="11">
        <f t="shared" si="3"/>
        <v>2937</v>
      </c>
    </row>
    <row r="29" spans="2:7">
      <c r="B29" s="3"/>
      <c r="C29" s="10"/>
      <c r="D29" s="10"/>
      <c r="E29" s="10"/>
      <c r="F29" s="11"/>
    </row>
    <row r="30" spans="2:7">
      <c r="B30" s="3" t="s">
        <v>16</v>
      </c>
      <c r="C30" s="166" t="s">
        <v>17</v>
      </c>
      <c r="D30" s="167"/>
      <c r="E30" s="168"/>
      <c r="F30" s="11"/>
    </row>
    <row r="31" spans="2:7">
      <c r="B31" s="12" t="s">
        <v>13</v>
      </c>
      <c r="C31" s="169">
        <v>7</v>
      </c>
      <c r="D31" s="170"/>
      <c r="E31" s="171"/>
      <c r="F31" s="11">
        <f>(C31*8*C14)*12/13</f>
        <v>1344</v>
      </c>
    </row>
    <row r="32" spans="2:7">
      <c r="B32" s="12" t="s">
        <v>14</v>
      </c>
      <c r="C32" s="169">
        <v>8</v>
      </c>
      <c r="D32" s="170"/>
      <c r="E32" s="171"/>
      <c r="F32" s="11">
        <f>(C32*8*C15)*12/13</f>
        <v>3131.0769230769229</v>
      </c>
    </row>
    <row r="33" spans="2:6">
      <c r="B33" s="12" t="s">
        <v>15</v>
      </c>
      <c r="C33" s="169">
        <v>15</v>
      </c>
      <c r="D33" s="170"/>
      <c r="E33" s="171"/>
      <c r="F33" s="11">
        <f>(C33*8*C16)*12/13</f>
        <v>11630.76923076923</v>
      </c>
    </row>
    <row r="34" spans="2:6">
      <c r="B34" s="12"/>
      <c r="C34" s="30"/>
      <c r="D34" s="31"/>
      <c r="E34" s="32"/>
      <c r="F34" s="11"/>
    </row>
    <row r="35" spans="2:6">
      <c r="B35" s="3" t="s">
        <v>18</v>
      </c>
      <c r="C35" s="166" t="s">
        <v>19</v>
      </c>
      <c r="D35" s="167"/>
      <c r="E35" s="168"/>
      <c r="F35" s="11"/>
    </row>
    <row r="36" spans="2:6">
      <c r="B36" s="12" t="s">
        <v>13</v>
      </c>
      <c r="C36" s="163">
        <v>0.05</v>
      </c>
      <c r="D36" s="164"/>
      <c r="E36" s="165"/>
      <c r="F36" s="11">
        <f>ROUND((C36*C14*1600)/1.85,0)</f>
        <v>1124</v>
      </c>
    </row>
    <row r="37" spans="2:6">
      <c r="B37" s="12" t="s">
        <v>14</v>
      </c>
      <c r="C37" s="163">
        <v>0.05</v>
      </c>
      <c r="D37" s="164"/>
      <c r="E37" s="165"/>
      <c r="F37" s="11">
        <f>ROUND((C37*C15*1600)/1.85,0)</f>
        <v>2292</v>
      </c>
    </row>
    <row r="38" spans="2:6">
      <c r="B38" s="12" t="s">
        <v>15</v>
      </c>
      <c r="C38" s="163">
        <v>0.1</v>
      </c>
      <c r="D38" s="164"/>
      <c r="E38" s="165"/>
      <c r="F38" s="11">
        <f>ROUND((C38*C16*1600)/1.85,0)</f>
        <v>9081</v>
      </c>
    </row>
    <row r="39" spans="2:6">
      <c r="B39" s="3"/>
      <c r="C39" s="10"/>
      <c r="D39" s="10"/>
      <c r="E39" s="10"/>
      <c r="F39" s="11"/>
    </row>
    <row r="40" spans="2:6" ht="30">
      <c r="B40" s="3" t="s">
        <v>6</v>
      </c>
      <c r="C40" s="33" t="s">
        <v>21</v>
      </c>
      <c r="D40" s="33" t="s">
        <v>22</v>
      </c>
      <c r="E40" s="10" t="s">
        <v>20</v>
      </c>
      <c r="F40" s="11"/>
    </row>
    <row r="41" spans="2:6">
      <c r="B41" s="12" t="s">
        <v>13</v>
      </c>
      <c r="C41" s="11">
        <f>5*8*C14</f>
        <v>1040</v>
      </c>
      <c r="D41" s="10">
        <v>2500</v>
      </c>
      <c r="E41" s="10">
        <v>1500</v>
      </c>
      <c r="F41" s="11">
        <f>SUM(C41:E41)</f>
        <v>5040</v>
      </c>
    </row>
    <row r="42" spans="2:6">
      <c r="B42" s="12" t="s">
        <v>14</v>
      </c>
      <c r="C42" s="11">
        <f>5*8*C15</f>
        <v>2120</v>
      </c>
      <c r="D42" s="10">
        <v>0</v>
      </c>
      <c r="E42" s="10">
        <v>1500</v>
      </c>
      <c r="F42" s="11">
        <f>SUM(C42:E42)</f>
        <v>3620</v>
      </c>
    </row>
    <row r="43" spans="2:6">
      <c r="B43" s="12" t="s">
        <v>15</v>
      </c>
      <c r="C43" s="11">
        <f>5*8*C16</f>
        <v>4200</v>
      </c>
      <c r="D43" s="10">
        <v>0</v>
      </c>
      <c r="E43" s="10">
        <v>0</v>
      </c>
      <c r="F43" s="11">
        <f>SUM(C43:E43)</f>
        <v>4200</v>
      </c>
    </row>
    <row r="44" spans="2:6">
      <c r="B44" s="3"/>
      <c r="C44" s="10"/>
      <c r="D44" s="10"/>
      <c r="E44" s="10"/>
      <c r="F44" s="11"/>
    </row>
    <row r="45" spans="2:6">
      <c r="B45" s="6" t="s">
        <v>58</v>
      </c>
      <c r="C45" s="10"/>
      <c r="D45" s="10"/>
      <c r="E45" s="10"/>
      <c r="F45" s="11"/>
    </row>
    <row r="46" spans="2:6" ht="48" customHeight="1">
      <c r="B46" s="3" t="s">
        <v>5</v>
      </c>
      <c r="C46" s="172" t="s">
        <v>24</v>
      </c>
      <c r="D46" s="172"/>
      <c r="E46" s="29" t="s">
        <v>23</v>
      </c>
      <c r="F46" s="11"/>
    </row>
    <row r="47" spans="2:6">
      <c r="B47" s="12" t="s">
        <v>13</v>
      </c>
      <c r="C47" s="173">
        <v>0.5</v>
      </c>
      <c r="D47" s="173"/>
      <c r="E47" s="13">
        <v>4</v>
      </c>
      <c r="F47" s="11">
        <f>(1-C47)*C14*(1600/12)*E47</f>
        <v>6933.3333333333339</v>
      </c>
    </row>
    <row r="48" spans="2:6">
      <c r="B48" s="12" t="s">
        <v>14</v>
      </c>
      <c r="C48" s="173">
        <v>0.75</v>
      </c>
      <c r="D48" s="173"/>
      <c r="E48" s="13">
        <v>6</v>
      </c>
      <c r="F48" s="11">
        <f>(1-C48)*C15*(1600/12)*E48</f>
        <v>10600</v>
      </c>
    </row>
    <row r="49" spans="2:6">
      <c r="B49" s="12" t="s">
        <v>15</v>
      </c>
      <c r="C49" s="173">
        <v>0.85</v>
      </c>
      <c r="D49" s="173"/>
      <c r="E49" s="13">
        <v>12</v>
      </c>
      <c r="F49" s="11">
        <f>(1-C49)*C16*(1600/12)*E49</f>
        <v>25200.000000000007</v>
      </c>
    </row>
    <row r="50" spans="2:6">
      <c r="B50" s="3"/>
      <c r="C50" s="10"/>
      <c r="D50" s="10"/>
      <c r="E50" s="10"/>
      <c r="F50" s="11"/>
    </row>
    <row r="51" spans="2:6" ht="45">
      <c r="B51" s="3" t="s">
        <v>4</v>
      </c>
      <c r="C51" s="172" t="s">
        <v>27</v>
      </c>
      <c r="D51" s="172"/>
      <c r="E51" s="29" t="s">
        <v>23</v>
      </c>
      <c r="F51" s="11"/>
    </row>
    <row r="52" spans="2:6">
      <c r="B52" s="12" t="s">
        <v>13</v>
      </c>
      <c r="C52" s="173">
        <f>1-C47</f>
        <v>0.5</v>
      </c>
      <c r="D52" s="173"/>
      <c r="E52" s="13">
        <f>E47</f>
        <v>4</v>
      </c>
      <c r="F52" s="11">
        <f>(C52)*AVERAGE(C14,C15,C16)*(1600/12)*E52</f>
        <v>16355.555555555557</v>
      </c>
    </row>
    <row r="53" spans="2:6">
      <c r="B53" s="12" t="s">
        <v>14</v>
      </c>
      <c r="C53" s="173">
        <f t="shared" ref="C53:C54" si="4">1-C48</f>
        <v>0.25</v>
      </c>
      <c r="D53" s="173"/>
      <c r="E53" s="13">
        <f t="shared" ref="E53:E54" si="5">E48</f>
        <v>6</v>
      </c>
      <c r="F53" s="11">
        <f>(C53)*AVERAGE(C14,C15,C16)*(1600/12)*E53</f>
        <v>12266.666666666668</v>
      </c>
    </row>
    <row r="54" spans="2:6">
      <c r="B54" s="12" t="s">
        <v>15</v>
      </c>
      <c r="C54" s="173">
        <f t="shared" si="4"/>
        <v>0.15000000000000002</v>
      </c>
      <c r="D54" s="173"/>
      <c r="E54" s="13">
        <f t="shared" si="5"/>
        <v>12</v>
      </c>
      <c r="F54" s="11">
        <f>(C54)*AVERAGE(C14,C15,C16)*(1600/12)*E54</f>
        <v>14720.000000000004</v>
      </c>
    </row>
    <row r="55" spans="2:6">
      <c r="B55" s="3"/>
      <c r="C55" s="10"/>
      <c r="D55" s="10"/>
      <c r="E55" s="10"/>
      <c r="F55" s="10"/>
    </row>
    <row r="57" spans="2:6" ht="30">
      <c r="B57" s="7" t="s">
        <v>11</v>
      </c>
      <c r="C57" s="9"/>
      <c r="D57" s="2" t="s">
        <v>35</v>
      </c>
      <c r="E57" s="2" t="s">
        <v>36</v>
      </c>
    </row>
    <row r="58" spans="2:6">
      <c r="B58" s="12" t="s">
        <v>13</v>
      </c>
      <c r="C58" s="9">
        <f>F52+F47+F41+F36+F31+F26+F21</f>
        <v>33518.888888888891</v>
      </c>
      <c r="D58" s="20">
        <f>(C14*1600)</f>
        <v>41600</v>
      </c>
      <c r="E58" s="1">
        <f>C58/D58</f>
        <v>0.80574252136752145</v>
      </c>
    </row>
    <row r="59" spans="2:6">
      <c r="B59" s="12" t="s">
        <v>14</v>
      </c>
      <c r="C59" s="9">
        <f>F53+F48+F42+F37+F32+F27+F22</f>
        <v>35944.743589743593</v>
      </c>
      <c r="D59" s="20">
        <f>C15*1600</f>
        <v>84800</v>
      </c>
      <c r="E59" s="1">
        <f t="shared" ref="E59:E60" si="6">C59/D59</f>
        <v>0.42387669327527822</v>
      </c>
    </row>
    <row r="60" spans="2:6">
      <c r="B60" s="12" t="s">
        <v>15</v>
      </c>
      <c r="C60" s="9">
        <f t="shared" ref="C60" si="7">F54+F49+F43+F38+F33+F28+F23</f>
        <v>71958.769230769249</v>
      </c>
      <c r="D60" s="20">
        <f>C16*1600</f>
        <v>168000</v>
      </c>
      <c r="E60" s="1">
        <f t="shared" si="6"/>
        <v>0.42832600732600745</v>
      </c>
    </row>
    <row r="61" spans="2:6">
      <c r="B61" s="12"/>
      <c r="C61" s="9"/>
    </row>
    <row r="62" spans="2:6">
      <c r="B62" s="7" t="s">
        <v>55</v>
      </c>
      <c r="C62" s="9"/>
    </row>
    <row r="63" spans="2:6">
      <c r="B63" s="12" t="s">
        <v>13</v>
      </c>
      <c r="C63" s="9">
        <f>C58*D10</f>
        <v>150835</v>
      </c>
    </row>
    <row r="64" spans="2:6">
      <c r="B64" s="12" t="s">
        <v>14</v>
      </c>
      <c r="C64" s="9">
        <f>C59*D11</f>
        <v>68295.012820512828</v>
      </c>
    </row>
    <row r="65" spans="2:5">
      <c r="B65" s="12" t="s">
        <v>15</v>
      </c>
      <c r="C65" s="9">
        <f>C60*D12</f>
        <v>79154.646153846174</v>
      </c>
    </row>
    <row r="66" spans="2:5" ht="30">
      <c r="B66" s="12"/>
      <c r="C66" s="9"/>
      <c r="D66" s="10" t="s">
        <v>26</v>
      </c>
      <c r="E66" s="60" t="s">
        <v>65</v>
      </c>
    </row>
    <row r="67" spans="2:5" ht="40" customHeight="1">
      <c r="B67" s="21" t="s">
        <v>37</v>
      </c>
      <c r="C67" s="22">
        <f>SUM(C63:C65)</f>
        <v>298284.65897435899</v>
      </c>
      <c r="D67" s="55">
        <f>C67/C8</f>
        <v>5.9656931794871797E-2</v>
      </c>
      <c r="E67" s="55">
        <f>C67/D17</f>
        <v>0.12573977795001737</v>
      </c>
    </row>
    <row r="69" spans="2:5" ht="36" customHeight="1">
      <c r="B69" s="21" t="s">
        <v>42</v>
      </c>
      <c r="C69" s="23">
        <f>C9-1/100</f>
        <v>0.13999999999999999</v>
      </c>
    </row>
    <row r="70" spans="2:5">
      <c r="B70" s="24"/>
      <c r="C70" s="16">
        <f>SUM(C71:C73)</f>
        <v>7.1</v>
      </c>
      <c r="D70" s="25">
        <f>SUM(D71:D73)</f>
        <v>284634.51794871798</v>
      </c>
    </row>
    <row r="71" spans="2:5">
      <c r="B71" s="24" t="s">
        <v>39</v>
      </c>
      <c r="C71" s="16">
        <f>ROUND(C10*$C$69*$C$6,1)</f>
        <v>4.2</v>
      </c>
      <c r="D71" s="25">
        <f>C58*C71</f>
        <v>140779.33333333334</v>
      </c>
    </row>
    <row r="72" spans="2:5">
      <c r="B72" s="24" t="s">
        <v>40</v>
      </c>
      <c r="C72" s="16">
        <f>ROUND(C11*$C$69*$C$6,1)</f>
        <v>1.8</v>
      </c>
      <c r="D72" s="25">
        <f>C59*C72</f>
        <v>64700.538461538468</v>
      </c>
    </row>
    <row r="73" spans="2:5" ht="30">
      <c r="B73" s="24" t="s">
        <v>41</v>
      </c>
      <c r="C73" s="16">
        <f>ROUND(C12*$C$69*$C$6,1)</f>
        <v>1.1000000000000001</v>
      </c>
      <c r="D73" s="25">
        <f>C60*C73</f>
        <v>79154.646153846174</v>
      </c>
      <c r="E73" s="60" t="s">
        <v>65</v>
      </c>
    </row>
    <row r="74" spans="2:5" ht="23" customHeight="1">
      <c r="B74" s="26" t="s">
        <v>38</v>
      </c>
      <c r="C74" s="27">
        <f>C67-D70</f>
        <v>13650.141025641002</v>
      </c>
      <c r="D74" s="54">
        <f>C74/C8</f>
        <v>2.7300282051282002E-3</v>
      </c>
      <c r="E74" s="64">
        <f>C74/D17</f>
        <v>5.7541199317865796E-3</v>
      </c>
    </row>
    <row r="76" spans="2:5">
      <c r="C76" s="25"/>
    </row>
    <row r="77" spans="2:5">
      <c r="C77" s="25"/>
    </row>
  </sheetData>
  <mergeCells count="16">
    <mergeCell ref="C51:D51"/>
    <mergeCell ref="C52:D52"/>
    <mergeCell ref="C53:D53"/>
    <mergeCell ref="C54:D54"/>
    <mergeCell ref="C37:E37"/>
    <mergeCell ref="C38:E38"/>
    <mergeCell ref="C46:D46"/>
    <mergeCell ref="C47:D47"/>
    <mergeCell ref="C48:D48"/>
    <mergeCell ref="C49:D49"/>
    <mergeCell ref="C36:E36"/>
    <mergeCell ref="C30:E30"/>
    <mergeCell ref="C31:E31"/>
    <mergeCell ref="C32:E32"/>
    <mergeCell ref="C33:E33"/>
    <mergeCell ref="C35:E3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66"/>
  <sheetViews>
    <sheetView windowProtection="1" topLeftCell="G13" workbookViewId="0">
      <selection activeCell="C40" sqref="C40"/>
    </sheetView>
  </sheetViews>
  <sheetFormatPr baseColWidth="10" defaultRowHeight="15" x14ac:dyDescent="0"/>
  <cols>
    <col min="2" max="2" width="61.33203125" customWidth="1"/>
    <col min="3" max="3" width="20.1640625" customWidth="1"/>
    <col min="4" max="4" width="19.83203125" customWidth="1"/>
    <col min="5" max="5" width="16.33203125" customWidth="1"/>
    <col min="6" max="6" width="17.6640625" customWidth="1"/>
    <col min="9" max="9" width="22" customWidth="1"/>
    <col min="10" max="10" width="12" bestFit="1" customWidth="1"/>
    <col min="11" max="11" width="12.6640625" customWidth="1"/>
    <col min="12" max="12" width="11" bestFit="1" customWidth="1"/>
    <col min="17" max="17" width="14" customWidth="1"/>
    <col min="18" max="18" width="15" customWidth="1"/>
    <col min="19" max="19" width="12.6640625" customWidth="1"/>
    <col min="20" max="20" width="14.5" customWidth="1"/>
    <col min="21" max="21" width="15.5" customWidth="1"/>
    <col min="22" max="22" width="14" customWidth="1"/>
    <col min="23" max="23" width="14.33203125" customWidth="1"/>
    <col min="24" max="24" width="13.6640625" customWidth="1"/>
    <col min="25" max="25" width="14" customWidth="1"/>
    <col min="26" max="26" width="13.83203125" customWidth="1"/>
    <col min="27" max="27" width="16.6640625" customWidth="1"/>
  </cols>
  <sheetData>
    <row r="3" spans="2:27">
      <c r="B3" t="s">
        <v>46</v>
      </c>
    </row>
    <row r="5" spans="2:27" ht="30">
      <c r="B5" s="34"/>
      <c r="C5" s="35"/>
      <c r="D5" s="36" t="s">
        <v>47</v>
      </c>
      <c r="I5" t="s">
        <v>54</v>
      </c>
      <c r="J5" s="51">
        <f>D9</f>
        <v>17</v>
      </c>
      <c r="K5" s="51">
        <v>16</v>
      </c>
      <c r="L5" s="51">
        <v>15</v>
      </c>
      <c r="M5" s="51">
        <v>14</v>
      </c>
      <c r="N5" s="51">
        <v>13</v>
      </c>
      <c r="O5" s="51">
        <v>12</v>
      </c>
      <c r="P5" s="51">
        <v>11</v>
      </c>
      <c r="Q5" s="51">
        <v>10</v>
      </c>
      <c r="R5" s="51">
        <v>9</v>
      </c>
      <c r="S5" s="51">
        <v>8</v>
      </c>
      <c r="T5" s="51">
        <v>7</v>
      </c>
      <c r="U5" s="51">
        <v>6</v>
      </c>
      <c r="V5" s="51">
        <v>5</v>
      </c>
      <c r="W5" s="51">
        <v>4</v>
      </c>
      <c r="X5" s="51">
        <v>3</v>
      </c>
      <c r="Y5" s="51">
        <v>2</v>
      </c>
      <c r="Z5" s="51">
        <v>1</v>
      </c>
      <c r="AA5" s="51">
        <v>0</v>
      </c>
    </row>
    <row r="6" spans="2:27">
      <c r="B6" s="37" t="s">
        <v>1</v>
      </c>
      <c r="C6" s="38">
        <f>'turnover cas 1'!C6</f>
        <v>50</v>
      </c>
      <c r="D6" s="39"/>
      <c r="I6" t="s">
        <v>44</v>
      </c>
      <c r="J6" s="25">
        <f>$C$38-((((J5*$C$10*8*$C$14*0.8)+((($C$14*1600)/220)*1.55)*(J5*$C$10))*$C$10*$C$6)+(((J5*$C$11*8*$C$15*0.8)+((($C$15*1600)/220)*1.55)*(J5*$C$11))*$C$11*$C$6)+((J5*$C$12*8*$C$16*0.8)+((($C$16*1600)/220)*1.55)*(J5*$C$12))*$C$12*$C$6)</f>
        <v>0</v>
      </c>
      <c r="K6" s="25">
        <f>$C$38-((((K5*$C$10*8*$C$14*0.8)+((($C$14*1600)/220)*1.55)*(K5*$C$10))*$C$10*$C$6)+(((K5*$C$11*8*$C$15*0.8)+((($C$15*1600)/220)*1.55)*(K5*$C$11))*$C$11*$C$6)+((K5*$C$12*8*$C$16*0.8)+((($C$16*1600)/220)*1.55)*(K5*$C$12))*$C$12*$C$6)</f>
        <v>8889.3818181818351</v>
      </c>
      <c r="L6" s="25">
        <f>$C$38-((((L5*$C$10*8*$C$14*0.8)+((($C$14*1600)/220)*1.55)*(L5*$C$10))*$C$10*$C$6)+(((L5*$C$11*8*$C$15*0.8)+((($C$15*1600)/220)*1.55)*(L5*$C$11))*$C$11*$C$6)+((L5*$C$12*8*$C$16*0.8)+((($C$16*1600)/220)*1.55)*(L5*$C$12))*$C$12*$C$6)</f>
        <v>17778.763636363612</v>
      </c>
      <c r="M6" s="25">
        <f t="shared" ref="M6:AA6" si="0">$C$38-((((M5*$C$10*8*$C$14*0.8)+((($C$14*1600)/220)*1.55)*(M5*$C$10))*$C$10*$C$6)+(((M5*$C$11*8*$C$15*0.8)+((($C$15*1600)/220)*1.55)*(M5*$C$11))*$C$11*$C$6)+((M5*$C$12*8*$C$16*0.8)+((($C$16*1600)/220)*1.55)*(M5*$C$12))*$C$12*$C$6)</f>
        <v>26668.145454545433</v>
      </c>
      <c r="N6" s="25">
        <f t="shared" si="0"/>
        <v>35557.527272727253</v>
      </c>
      <c r="O6" s="25">
        <f t="shared" si="0"/>
        <v>44446.909090909117</v>
      </c>
      <c r="P6" s="25">
        <f t="shared" si="0"/>
        <v>53336.290909090894</v>
      </c>
      <c r="Q6" s="25">
        <f t="shared" si="0"/>
        <v>62225.672727272729</v>
      </c>
      <c r="R6" s="25">
        <f t="shared" si="0"/>
        <v>71115.054545454535</v>
      </c>
      <c r="S6" s="25">
        <f t="shared" si="0"/>
        <v>80004.436363636371</v>
      </c>
      <c r="T6" s="25">
        <f t="shared" si="0"/>
        <v>88893.818181818177</v>
      </c>
      <c r="U6" s="25">
        <f t="shared" si="0"/>
        <v>97783.200000000012</v>
      </c>
      <c r="V6" s="25">
        <f t="shared" si="0"/>
        <v>106672.58181818182</v>
      </c>
      <c r="W6" s="25">
        <f t="shared" si="0"/>
        <v>115561.96363636364</v>
      </c>
      <c r="X6" s="25">
        <f t="shared" si="0"/>
        <v>124451.34545454546</v>
      </c>
      <c r="Y6" s="25">
        <f t="shared" si="0"/>
        <v>133340.72727272726</v>
      </c>
      <c r="Z6" s="25">
        <f t="shared" si="0"/>
        <v>142230.1090909091</v>
      </c>
      <c r="AA6" s="25">
        <f t="shared" si="0"/>
        <v>151119.49090909091</v>
      </c>
    </row>
    <row r="7" spans="2:27">
      <c r="B7" s="40" t="s">
        <v>30</v>
      </c>
      <c r="C7" s="17"/>
      <c r="D7" s="39"/>
    </row>
    <row r="8" spans="2:27">
      <c r="B8" s="41" t="s">
        <v>31</v>
      </c>
      <c r="C8" s="83">
        <f>'ESTIMEZ VOS GAINS FACILEMENT'!F22</f>
        <v>5000000</v>
      </c>
      <c r="D8" s="39"/>
    </row>
    <row r="9" spans="2:27">
      <c r="B9" s="37" t="s">
        <v>66</v>
      </c>
      <c r="C9" s="15"/>
      <c r="D9" s="43">
        <f>'ESTIMEZ VOS GAINS FACILEMENT'!F24</f>
        <v>17</v>
      </c>
    </row>
    <row r="10" spans="2:27">
      <c r="B10" s="42" t="s">
        <v>10</v>
      </c>
      <c r="C10" s="5">
        <f>'ESTIMEZ VOS GAINS FACILEMENT'!H20</f>
        <v>0.6</v>
      </c>
      <c r="D10" s="43">
        <f>D9*C10</f>
        <v>10.199999999999999</v>
      </c>
    </row>
    <row r="11" spans="2:27">
      <c r="B11" s="42" t="s">
        <v>8</v>
      </c>
      <c r="C11" s="5">
        <f>'ESTIMEZ VOS GAINS FACILEMENT'!I20</f>
        <v>0.25</v>
      </c>
      <c r="D11" s="43">
        <f>D9*C11</f>
        <v>4.25</v>
      </c>
    </row>
    <row r="12" spans="2:27">
      <c r="B12" s="42" t="s">
        <v>9</v>
      </c>
      <c r="C12" s="5">
        <f>'ESTIMEZ VOS GAINS FACILEMENT'!J20</f>
        <v>0.15</v>
      </c>
      <c r="D12" s="43">
        <f>D9*C12</f>
        <v>2.5499999999999998</v>
      </c>
    </row>
    <row r="13" spans="2:27">
      <c r="B13" s="44"/>
      <c r="C13" s="39"/>
      <c r="D13" s="39"/>
    </row>
    <row r="14" spans="2:27">
      <c r="B14" s="3" t="s">
        <v>56</v>
      </c>
      <c r="C14" s="45">
        <f>ROUND(((1700*13)/0.78)/1600,0)</f>
        <v>18</v>
      </c>
      <c r="D14" s="39"/>
      <c r="E14" s="20"/>
    </row>
    <row r="15" spans="2:27">
      <c r="B15" s="44" t="s">
        <v>49</v>
      </c>
      <c r="C15" s="45">
        <f>ROUND(((3000*13)/0.78)/1600,0)</f>
        <v>31</v>
      </c>
      <c r="D15" s="39"/>
      <c r="E15" s="20"/>
    </row>
    <row r="16" spans="2:27">
      <c r="B16" s="44" t="s">
        <v>50</v>
      </c>
      <c r="C16" s="45">
        <f>ROUND(((7000*13)/0.78)/1600,0)</f>
        <v>73</v>
      </c>
      <c r="D16" s="39"/>
      <c r="E16" s="20"/>
    </row>
    <row r="17" spans="2:6">
      <c r="B17" s="61" t="s">
        <v>64</v>
      </c>
      <c r="C17" s="62">
        <f>'turnover cas 1'!C17</f>
        <v>0.47444756756756756</v>
      </c>
      <c r="D17" s="63">
        <f>'turnover cas 1'!D17</f>
        <v>2372237.8378378376</v>
      </c>
    </row>
    <row r="19" spans="2:6">
      <c r="B19" s="6" t="s">
        <v>59</v>
      </c>
      <c r="C19" s="10" t="s">
        <v>33</v>
      </c>
      <c r="D19" s="10" t="s">
        <v>32</v>
      </c>
      <c r="E19" s="10" t="s">
        <v>34</v>
      </c>
      <c r="F19" s="10" t="s">
        <v>7</v>
      </c>
    </row>
    <row r="20" spans="2:6">
      <c r="B20" s="3" t="s">
        <v>48</v>
      </c>
      <c r="C20" s="10"/>
      <c r="D20" s="10"/>
      <c r="E20" s="10"/>
      <c r="F20" s="11"/>
    </row>
    <row r="21" spans="2:6">
      <c r="B21" s="12" t="s">
        <v>13</v>
      </c>
      <c r="C21" s="11">
        <f>D10*8*C14*0.8</f>
        <v>1175.04</v>
      </c>
      <c r="D21" s="10"/>
      <c r="E21" s="10"/>
      <c r="F21" s="11">
        <f>SUM(C21:E21)</f>
        <v>1175.04</v>
      </c>
    </row>
    <row r="22" spans="2:6">
      <c r="B22" s="12" t="s">
        <v>14</v>
      </c>
      <c r="C22" s="10"/>
      <c r="D22" s="11">
        <f>D11*8*C15*0.8</f>
        <v>843.2</v>
      </c>
      <c r="E22" s="10"/>
      <c r="F22" s="11">
        <f>SUM(C22:E22)</f>
        <v>843.2</v>
      </c>
    </row>
    <row r="23" spans="2:6">
      <c r="B23" s="12" t="s">
        <v>15</v>
      </c>
      <c r="C23" s="10"/>
      <c r="D23" s="10"/>
      <c r="E23" s="11">
        <f>D12*8*C16*0.8</f>
        <v>1191.3599999999999</v>
      </c>
      <c r="F23" s="11">
        <f>SUM(C23:E23)</f>
        <v>1191.3599999999999</v>
      </c>
    </row>
    <row r="24" spans="2:6">
      <c r="B24" s="47"/>
      <c r="C24" s="48"/>
      <c r="D24" s="48"/>
      <c r="E24" s="49"/>
      <c r="F24" s="49"/>
    </row>
    <row r="25" spans="2:6" ht="30">
      <c r="B25" s="6" t="s">
        <v>60</v>
      </c>
      <c r="C25" s="172" t="s">
        <v>52</v>
      </c>
      <c r="D25" s="172"/>
      <c r="E25" s="46" t="s">
        <v>53</v>
      </c>
      <c r="F25" s="10" t="s">
        <v>7</v>
      </c>
    </row>
    <row r="26" spans="2:6">
      <c r="B26" s="3" t="s">
        <v>51</v>
      </c>
      <c r="C26" s="169"/>
      <c r="D26" s="171"/>
      <c r="E26" s="10"/>
      <c r="F26" s="11"/>
    </row>
    <row r="27" spans="2:6">
      <c r="B27" s="12" t="s">
        <v>13</v>
      </c>
      <c r="C27" s="174">
        <f>((C14*1600)/220)*1.55</f>
        <v>202.90909090909091</v>
      </c>
      <c r="D27" s="171"/>
      <c r="E27" s="50">
        <f>D10</f>
        <v>10.199999999999999</v>
      </c>
      <c r="F27" s="11">
        <f>C27*E27</f>
        <v>2069.6727272727271</v>
      </c>
    </row>
    <row r="28" spans="2:6">
      <c r="B28" s="12" t="s">
        <v>14</v>
      </c>
      <c r="C28" s="174">
        <f>((C15*1600)/220)*1.55</f>
        <v>349.4545454545455</v>
      </c>
      <c r="D28" s="171"/>
      <c r="E28" s="50">
        <f>D11</f>
        <v>4.25</v>
      </c>
      <c r="F28" s="11">
        <f t="shared" ref="F28:F29" si="1">C28*E28</f>
        <v>1485.1818181818185</v>
      </c>
    </row>
    <row r="29" spans="2:6">
      <c r="B29" s="12" t="s">
        <v>15</v>
      </c>
      <c r="C29" s="174">
        <f>((C16*1600)/220)*1.55</f>
        <v>822.90909090909088</v>
      </c>
      <c r="D29" s="171"/>
      <c r="E29" s="50">
        <f>D12</f>
        <v>2.5499999999999998</v>
      </c>
      <c r="F29" s="11">
        <f t="shared" si="1"/>
        <v>2098.4181818181814</v>
      </c>
    </row>
    <row r="30" spans="2:6">
      <c r="B30" s="47"/>
      <c r="C30" s="48"/>
      <c r="D30" s="48"/>
      <c r="E30" s="49"/>
      <c r="F30" s="49"/>
    </row>
    <row r="33" spans="2:6">
      <c r="B33" s="7" t="s">
        <v>25</v>
      </c>
      <c r="C33" s="9"/>
    </row>
    <row r="34" spans="2:6">
      <c r="B34" s="12" t="s">
        <v>13</v>
      </c>
      <c r="C34" s="9">
        <f>(F21+F27)*C6*C10</f>
        <v>97341.381818181806</v>
      </c>
    </row>
    <row r="35" spans="2:6">
      <c r="B35" s="12" t="s">
        <v>14</v>
      </c>
      <c r="C35" s="9">
        <f>(F22+F28)*C6*C11</f>
        <v>29104.772727272735</v>
      </c>
    </row>
    <row r="36" spans="2:6">
      <c r="B36" s="12" t="s">
        <v>15</v>
      </c>
      <c r="C36" s="9">
        <f>(F23+F29)*C6*C12</f>
        <v>24673.336363636357</v>
      </c>
    </row>
    <row r="37" spans="2:6">
      <c r="B37" s="12"/>
      <c r="C37" s="9"/>
      <c r="D37" s="10" t="s">
        <v>26</v>
      </c>
      <c r="E37" s="60" t="s">
        <v>65</v>
      </c>
    </row>
    <row r="38" spans="2:6">
      <c r="B38" s="21" t="s">
        <v>37</v>
      </c>
      <c r="C38" s="22">
        <f>SUM(C34:C36)</f>
        <v>151119.49090909091</v>
      </c>
      <c r="D38" s="55">
        <f>C38/C8</f>
        <v>3.0223898181818181E-2</v>
      </c>
      <c r="E38" s="55">
        <f>C38/D17</f>
        <v>6.3703347319857218E-2</v>
      </c>
    </row>
    <row r="40" spans="2:6" ht="39" customHeight="1">
      <c r="B40" s="21" t="s">
        <v>61</v>
      </c>
      <c r="C40" s="56">
        <f>D9-1</f>
        <v>16</v>
      </c>
    </row>
    <row r="41" spans="2:6">
      <c r="B41" s="58"/>
      <c r="C41" s="57">
        <f>C40*C10</f>
        <v>9.6</v>
      </c>
    </row>
    <row r="42" spans="2:6">
      <c r="B42" s="58"/>
      <c r="C42" s="57">
        <f>C40*C11</f>
        <v>4</v>
      </c>
    </row>
    <row r="43" spans="2:6">
      <c r="B43" s="58"/>
      <c r="C43" s="57">
        <f>C12*C40</f>
        <v>2.4</v>
      </c>
    </row>
    <row r="44" spans="2:6">
      <c r="B44" s="6" t="s">
        <v>59</v>
      </c>
      <c r="C44" s="10" t="s">
        <v>33</v>
      </c>
      <c r="D44" s="10" t="s">
        <v>32</v>
      </c>
      <c r="E44" s="10" t="s">
        <v>34</v>
      </c>
      <c r="F44" s="10" t="s">
        <v>7</v>
      </c>
    </row>
    <row r="45" spans="2:6">
      <c r="B45" s="3" t="s">
        <v>48</v>
      </c>
      <c r="C45" s="10"/>
      <c r="D45" s="10"/>
      <c r="E45" s="10"/>
      <c r="F45" s="11"/>
    </row>
    <row r="46" spans="2:6">
      <c r="B46" s="12" t="s">
        <v>13</v>
      </c>
      <c r="C46" s="11">
        <f>C41*8*C14*0.8</f>
        <v>1105.9199999999998</v>
      </c>
      <c r="D46" s="10"/>
      <c r="E46" s="10"/>
      <c r="F46" s="11">
        <f>SUM(C46:E46)</f>
        <v>1105.9199999999998</v>
      </c>
    </row>
    <row r="47" spans="2:6">
      <c r="B47" s="12" t="s">
        <v>14</v>
      </c>
      <c r="C47" s="10"/>
      <c r="D47" s="11">
        <f>C42*8*C15*0.8</f>
        <v>793.6</v>
      </c>
      <c r="E47" s="10"/>
      <c r="F47" s="11">
        <f>SUM(C47:E47)</f>
        <v>793.6</v>
      </c>
    </row>
    <row r="48" spans="2:6">
      <c r="B48" s="12" t="s">
        <v>15</v>
      </c>
      <c r="C48" s="10"/>
      <c r="D48" s="10"/>
      <c r="E48" s="11">
        <f>C43*8*C16*0.8</f>
        <v>1121.28</v>
      </c>
      <c r="F48" s="11">
        <f>SUM(C48:E48)</f>
        <v>1121.28</v>
      </c>
    </row>
    <row r="49" spans="2:6">
      <c r="B49" s="47"/>
      <c r="C49" s="48"/>
      <c r="D49" s="48"/>
      <c r="E49" s="49"/>
      <c r="F49" s="49"/>
    </row>
    <row r="50" spans="2:6" ht="30">
      <c r="B50" s="6" t="s">
        <v>60</v>
      </c>
      <c r="C50" s="172" t="s">
        <v>52</v>
      </c>
      <c r="D50" s="172"/>
      <c r="E50" s="52" t="s">
        <v>53</v>
      </c>
      <c r="F50" s="10" t="s">
        <v>7</v>
      </c>
    </row>
    <row r="51" spans="2:6">
      <c r="B51" s="3" t="s">
        <v>51</v>
      </c>
      <c r="C51" s="169"/>
      <c r="D51" s="171"/>
      <c r="E51" s="10"/>
      <c r="F51" s="11"/>
    </row>
    <row r="52" spans="2:6">
      <c r="B52" s="12" t="s">
        <v>13</v>
      </c>
      <c r="C52" s="174">
        <f>((C14*1600)/220)*1.55</f>
        <v>202.90909090909091</v>
      </c>
      <c r="D52" s="171"/>
      <c r="E52" s="50">
        <f>C41</f>
        <v>9.6</v>
      </c>
      <c r="F52" s="11">
        <f>C52*E52</f>
        <v>1947.9272727272726</v>
      </c>
    </row>
    <row r="53" spans="2:6">
      <c r="B53" s="12" t="s">
        <v>14</v>
      </c>
      <c r="C53" s="174">
        <f>((C15*1600)/220)*1.55</f>
        <v>349.4545454545455</v>
      </c>
      <c r="D53" s="171"/>
      <c r="E53" s="50">
        <f>C42</f>
        <v>4</v>
      </c>
      <c r="F53" s="11">
        <f t="shared" ref="F53:F54" si="2">C53*E53</f>
        <v>1397.818181818182</v>
      </c>
    </row>
    <row r="54" spans="2:6">
      <c r="B54" s="12" t="s">
        <v>15</v>
      </c>
      <c r="C54" s="174">
        <f>((C16*1600)/220)*1.55</f>
        <v>822.90909090909088</v>
      </c>
      <c r="D54" s="171"/>
      <c r="E54" s="50">
        <f>C43</f>
        <v>2.4</v>
      </c>
      <c r="F54" s="11">
        <f t="shared" si="2"/>
        <v>1974.981818181818</v>
      </c>
    </row>
    <row r="55" spans="2:6">
      <c r="B55" s="47"/>
      <c r="C55" s="48"/>
      <c r="D55" s="48"/>
      <c r="E55" s="49"/>
      <c r="F55" s="49"/>
    </row>
    <row r="58" spans="2:6">
      <c r="B58" s="7" t="s">
        <v>25</v>
      </c>
      <c r="C58" s="9">
        <f>SUM(C59:C61)</f>
        <v>142230.10909090907</v>
      </c>
    </row>
    <row r="59" spans="2:6">
      <c r="B59" s="12" t="s">
        <v>13</v>
      </c>
      <c r="C59" s="9">
        <f>(F46+F52)*C6*C10</f>
        <v>91615.418181818168</v>
      </c>
    </row>
    <row r="60" spans="2:6">
      <c r="B60" s="12" t="s">
        <v>14</v>
      </c>
      <c r="C60" s="9">
        <f>(F47+F53)*C11*C6</f>
        <v>27392.727272727272</v>
      </c>
    </row>
    <row r="61" spans="2:6">
      <c r="B61" s="12" t="s">
        <v>15</v>
      </c>
      <c r="C61" s="9">
        <f>(F48+F54)*C12*C6</f>
        <v>23221.963636363635</v>
      </c>
      <c r="D61" s="10" t="s">
        <v>26</v>
      </c>
      <c r="E61" s="53" t="s">
        <v>65</v>
      </c>
    </row>
    <row r="62" spans="2:6" ht="24" customHeight="1">
      <c r="B62" s="26" t="s">
        <v>38</v>
      </c>
      <c r="C62" s="27">
        <f>C38-C58</f>
        <v>8889.3818181818351</v>
      </c>
      <c r="D62" s="55">
        <f>C62/C8</f>
        <v>1.777876363636367E-3</v>
      </c>
      <c r="E62" s="55">
        <f>C62/D17</f>
        <v>3.7472557246974909E-3</v>
      </c>
    </row>
    <row r="65" spans="5:5">
      <c r="E65" s="20"/>
    </row>
    <row r="66" spans="5:5">
      <c r="E66" s="59"/>
    </row>
  </sheetData>
  <mergeCells count="10">
    <mergeCell ref="C25:D25"/>
    <mergeCell ref="C26:D26"/>
    <mergeCell ref="C27:D27"/>
    <mergeCell ref="C28:D28"/>
    <mergeCell ref="C29:D29"/>
    <mergeCell ref="C53:D53"/>
    <mergeCell ref="C54:D54"/>
    <mergeCell ref="C50:D50"/>
    <mergeCell ref="C51:D51"/>
    <mergeCell ref="C52:D5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X18"/>
  <sheetViews>
    <sheetView windowProtection="1" topLeftCell="F1" workbookViewId="0">
      <selection activeCell="AS21" sqref="AS21"/>
    </sheetView>
  </sheetViews>
  <sheetFormatPr baseColWidth="10" defaultRowHeight="15" x14ac:dyDescent="0"/>
  <cols>
    <col min="6" max="6" width="17.5" customWidth="1"/>
    <col min="7" max="8" width="20.5" customWidth="1"/>
    <col min="9" max="9" width="15.1640625" customWidth="1"/>
    <col min="10" max="10" width="12.1640625" bestFit="1" customWidth="1"/>
    <col min="11" max="20" width="13.33203125" bestFit="1" customWidth="1"/>
    <col min="21" max="21" width="15.5" customWidth="1"/>
    <col min="22" max="22" width="15.6640625" customWidth="1"/>
    <col min="23" max="23" width="14.6640625" customWidth="1"/>
    <col min="24" max="24" width="17.1640625" customWidth="1"/>
  </cols>
  <sheetData>
    <row r="2" spans="3:50">
      <c r="C2" s="1">
        <v>0.05</v>
      </c>
      <c r="F2" t="s">
        <v>83</v>
      </c>
      <c r="G2" t="s">
        <v>84</v>
      </c>
      <c r="H2" t="s">
        <v>78</v>
      </c>
    </row>
    <row r="3" spans="3:50">
      <c r="C3" s="1">
        <v>0.1</v>
      </c>
      <c r="F3" s="1">
        <v>1</v>
      </c>
      <c r="G3" s="1">
        <f>F4/'ESTIMEZ VOS GAINS FACILEMENT'!F22</f>
        <v>8.9880829976689974E-2</v>
      </c>
      <c r="H3" s="1">
        <f>F4/'turnover cas 1'!D17</f>
        <v>0.18944312526987458</v>
      </c>
    </row>
    <row r="4" spans="3:50">
      <c r="C4" s="1">
        <v>0.15</v>
      </c>
      <c r="F4">
        <f>'turnover cas 1'!C67+'Absentéisme 1'!C38</f>
        <v>449404.14988344989</v>
      </c>
    </row>
    <row r="5" spans="3:50">
      <c r="C5" s="1">
        <v>0.2</v>
      </c>
    </row>
    <row r="6" spans="3:50">
      <c r="C6" s="1">
        <v>0.25</v>
      </c>
      <c r="F6" t="s">
        <v>79</v>
      </c>
      <c r="G6" t="s">
        <v>80</v>
      </c>
      <c r="H6" t="s">
        <v>81</v>
      </c>
      <c r="I6" t="s">
        <v>82</v>
      </c>
    </row>
    <row r="7" spans="3:50">
      <c r="C7" s="1">
        <v>0.3</v>
      </c>
      <c r="F7" s="20">
        <f>'turnover cas 1'!C8</f>
        <v>5000000</v>
      </c>
      <c r="G7" s="1">
        <f>'turnover cas 1'!C17</f>
        <v>0.47444756756756756</v>
      </c>
      <c r="H7" s="88">
        <f>G3</f>
        <v>8.9880829976689974E-2</v>
      </c>
      <c r="I7" s="88">
        <f>1-G7-H7</f>
        <v>0.43567160245574243</v>
      </c>
    </row>
    <row r="8" spans="3:50">
      <c r="C8" s="1">
        <v>0.35</v>
      </c>
    </row>
    <row r="9" spans="3:50">
      <c r="C9" s="1">
        <v>0.4</v>
      </c>
    </row>
    <row r="10" spans="3:50">
      <c r="C10" s="1">
        <v>0.45</v>
      </c>
      <c r="F10">
        <f>IF(F11&lt;MAX('ESTIMEZ VOS GAINS FACILEMENT'!$F$24,'ESTIMEZ VOS GAINS FACILEMENT'!$F$26),F11,0)</f>
        <v>1</v>
      </c>
      <c r="G10">
        <f>IF(G11&lt;MAX('ESTIMEZ VOS GAINS FACILEMENT'!$F$24,'ESTIMEZ VOS GAINS FACILEMENT'!$F$26),G11,0)</f>
        <v>2</v>
      </c>
      <c r="H10">
        <f>IF(H11&lt;MAX('ESTIMEZ VOS GAINS FACILEMENT'!$F$24,'ESTIMEZ VOS GAINS FACILEMENT'!$F$26),H11,0)</f>
        <v>3</v>
      </c>
      <c r="I10">
        <f>IF(I11&lt;MAX('ESTIMEZ VOS GAINS FACILEMENT'!$F$24,'ESTIMEZ VOS GAINS FACILEMENT'!$F$26),I11,0)</f>
        <v>4</v>
      </c>
      <c r="J10">
        <f>IF(J11&lt;MAX('ESTIMEZ VOS GAINS FACILEMENT'!$F$24,'ESTIMEZ VOS GAINS FACILEMENT'!$F$26),J11,0)</f>
        <v>5</v>
      </c>
      <c r="K10">
        <f>IF(K11&lt;MAX('ESTIMEZ VOS GAINS FACILEMENT'!$F$24,'ESTIMEZ VOS GAINS FACILEMENT'!$F$26),K11,0)</f>
        <v>6</v>
      </c>
      <c r="L10">
        <f>IF(L11&lt;MAX('ESTIMEZ VOS GAINS FACILEMENT'!$F$24,'ESTIMEZ VOS GAINS FACILEMENT'!$F$26),L11,0)</f>
        <v>7</v>
      </c>
      <c r="M10">
        <f>IF(M11&lt;MAX('ESTIMEZ VOS GAINS FACILEMENT'!$F$24,'ESTIMEZ VOS GAINS FACILEMENT'!$F$26),M11,0)</f>
        <v>8</v>
      </c>
      <c r="N10">
        <f>IF(N11&lt;MAX('ESTIMEZ VOS GAINS FACILEMENT'!$F$24,'ESTIMEZ VOS GAINS FACILEMENT'!$F$26),N11,0)</f>
        <v>9</v>
      </c>
      <c r="O10">
        <f>IF(O11&lt;MAX('ESTIMEZ VOS GAINS FACILEMENT'!$F$24,'ESTIMEZ VOS GAINS FACILEMENT'!$F$26),O11,0)</f>
        <v>10</v>
      </c>
      <c r="P10">
        <f>IF(P11&lt;MAX('ESTIMEZ VOS GAINS FACILEMENT'!$F$24,'ESTIMEZ VOS GAINS FACILEMENT'!$F$26),P11,0)</f>
        <v>11</v>
      </c>
      <c r="Q10">
        <f>IF(Q11&lt;MAX('ESTIMEZ VOS GAINS FACILEMENT'!$F$24,'ESTIMEZ VOS GAINS FACILEMENT'!$F$26),Q11,0)</f>
        <v>12</v>
      </c>
      <c r="R10">
        <f>IF(R11&lt;MAX('ESTIMEZ VOS GAINS FACILEMENT'!$F$24,'ESTIMEZ VOS GAINS FACILEMENT'!$F$26),R11,0)</f>
        <v>13</v>
      </c>
      <c r="S10">
        <f>IF(S11&lt;MAX('ESTIMEZ VOS GAINS FACILEMENT'!$F$24,'ESTIMEZ VOS GAINS FACILEMENT'!$F$26),S11,0)</f>
        <v>14</v>
      </c>
      <c r="T10">
        <f>IF(T11&lt;MAX('ESTIMEZ VOS GAINS FACILEMENT'!$F$24,'ESTIMEZ VOS GAINS FACILEMENT'!$F$26),T11,0)</f>
        <v>15</v>
      </c>
      <c r="U10">
        <f>IF(U11&lt;MAX('ESTIMEZ VOS GAINS FACILEMENT'!$F$24,'ESTIMEZ VOS GAINS FACILEMENT'!$F$26),U11,0)</f>
        <v>16</v>
      </c>
      <c r="V10">
        <f>IF(V11&lt;MAX('ESTIMEZ VOS GAINS FACILEMENT'!$F$24,'ESTIMEZ VOS GAINS FACILEMENT'!$F$26),V11,0)</f>
        <v>0</v>
      </c>
      <c r="W10">
        <f>IF(W11&lt;MAX('ESTIMEZ VOS GAINS FACILEMENT'!$F$24,'ESTIMEZ VOS GAINS FACILEMENT'!$F$26),W11,0)</f>
        <v>0</v>
      </c>
      <c r="X10">
        <f>IF(X11&lt;MAX('ESTIMEZ VOS GAINS FACILEMENT'!$F$24,'ESTIMEZ VOS GAINS FACILEMENT'!$F$26),X11,0)</f>
        <v>0</v>
      </c>
      <c r="Y10">
        <f>IF(Y11&lt;MAX('ESTIMEZ VOS GAINS FACILEMENT'!$F$24,'ESTIMEZ VOS GAINS FACILEMENT'!$F$26),Y11,0)</f>
        <v>0</v>
      </c>
      <c r="Z10">
        <f>IF(Z11&lt;MAX('ESTIMEZ VOS GAINS FACILEMENT'!$F$24,'ESTIMEZ VOS GAINS FACILEMENT'!$F$26),Z11,0)</f>
        <v>0</v>
      </c>
      <c r="AA10">
        <f>IF(AA11&lt;MAX('ESTIMEZ VOS GAINS FACILEMENT'!$F$24,'ESTIMEZ VOS GAINS FACILEMENT'!$F$26),AA11,0)</f>
        <v>0</v>
      </c>
      <c r="AB10">
        <f>IF(AB11&lt;MAX('ESTIMEZ VOS GAINS FACILEMENT'!$F$24,'ESTIMEZ VOS GAINS FACILEMENT'!$F$26),AB11,0)</f>
        <v>0</v>
      </c>
      <c r="AC10">
        <f>IF(AC11&lt;MAX('ESTIMEZ VOS GAINS FACILEMENT'!$F$24,'ESTIMEZ VOS GAINS FACILEMENT'!$F$26),AC11,0)</f>
        <v>0</v>
      </c>
      <c r="AD10">
        <f>IF(AD11&lt;MAX('ESTIMEZ VOS GAINS FACILEMENT'!$F$24,'ESTIMEZ VOS GAINS FACILEMENT'!$F$26),AD11,0)</f>
        <v>0</v>
      </c>
      <c r="AE10">
        <f>IF(AE11&lt;MAX('ESTIMEZ VOS GAINS FACILEMENT'!$F$24,'ESTIMEZ VOS GAINS FACILEMENT'!$F$26),AE11,0)</f>
        <v>0</v>
      </c>
      <c r="AF10">
        <f>IF(AF11&lt;MAX('ESTIMEZ VOS GAINS FACILEMENT'!$F$24,'ESTIMEZ VOS GAINS FACILEMENT'!$F$26),AF11,0)</f>
        <v>0</v>
      </c>
      <c r="AG10">
        <f>IF(AG11&lt;MAX('ESTIMEZ VOS GAINS FACILEMENT'!$F$24,'ESTIMEZ VOS GAINS FACILEMENT'!$F$26),AG11,0)</f>
        <v>0</v>
      </c>
      <c r="AH10">
        <f>IF(AH11&lt;MAX('ESTIMEZ VOS GAINS FACILEMENT'!$F$24,'ESTIMEZ VOS GAINS FACILEMENT'!$F$26),AH11,0)</f>
        <v>0</v>
      </c>
      <c r="AI10">
        <f>IF(AI11&lt;MAX('ESTIMEZ VOS GAINS FACILEMENT'!$F$24,'ESTIMEZ VOS GAINS FACILEMENT'!$F$26),AI11,0)</f>
        <v>0</v>
      </c>
      <c r="AJ10">
        <f>IF(AJ11&lt;MAX('ESTIMEZ VOS GAINS FACILEMENT'!$F$24,'ESTIMEZ VOS GAINS FACILEMENT'!$F$26),AJ11,0)</f>
        <v>0</v>
      </c>
      <c r="AK10">
        <f>IF(AK11&lt;MAX('ESTIMEZ VOS GAINS FACILEMENT'!$F$24,'ESTIMEZ VOS GAINS FACILEMENT'!$F$26),AK11,0)</f>
        <v>0</v>
      </c>
      <c r="AL10">
        <f>IF(AL11&lt;MAX('ESTIMEZ VOS GAINS FACILEMENT'!$F$24,'ESTIMEZ VOS GAINS FACILEMENT'!$F$26),AL11,0)</f>
        <v>0</v>
      </c>
      <c r="AM10">
        <f>IF(AM11&lt;MAX('ESTIMEZ VOS GAINS FACILEMENT'!$F$24,'ESTIMEZ VOS GAINS FACILEMENT'!$F$26),AM11,0)</f>
        <v>0</v>
      </c>
      <c r="AN10">
        <f>IF(AN11&lt;MAX('ESTIMEZ VOS GAINS FACILEMENT'!$F$24,'ESTIMEZ VOS GAINS FACILEMENT'!$F$26),AN11,0)</f>
        <v>0</v>
      </c>
      <c r="AO10">
        <f>IF(AO11&lt;MAX('ESTIMEZ VOS GAINS FACILEMENT'!$F$24,'ESTIMEZ VOS GAINS FACILEMENT'!$F$26),AO11,0)</f>
        <v>0</v>
      </c>
      <c r="AP10">
        <f>IF(AP11&lt;MAX('ESTIMEZ VOS GAINS FACILEMENT'!$F$24,'ESTIMEZ VOS GAINS FACILEMENT'!$F$26),AP11,0)</f>
        <v>0</v>
      </c>
      <c r="AQ10">
        <f>IF(AQ11&lt;MAX('ESTIMEZ VOS GAINS FACILEMENT'!$F$24,'ESTIMEZ VOS GAINS FACILEMENT'!$F$26),AQ11,0)</f>
        <v>0</v>
      </c>
      <c r="AR10">
        <f>IF(AR11&lt;MAX('ESTIMEZ VOS GAINS FACILEMENT'!$F$24,'ESTIMEZ VOS GAINS FACILEMENT'!$F$26),AR11,0)</f>
        <v>0</v>
      </c>
      <c r="AS10">
        <f>IF(AS11&lt;MAX('ESTIMEZ VOS GAINS FACILEMENT'!$F$24,'ESTIMEZ VOS GAINS FACILEMENT'!$F$26),AS11,0)</f>
        <v>0</v>
      </c>
      <c r="AT10">
        <f>IF(AT11&lt;MAX('ESTIMEZ VOS GAINS FACILEMENT'!$F$24,'ESTIMEZ VOS GAINS FACILEMENT'!$F$26),AT11,0)</f>
        <v>0</v>
      </c>
      <c r="AU10">
        <f>IF(AU11&lt;MAX('ESTIMEZ VOS GAINS FACILEMENT'!$F$24,'ESTIMEZ VOS GAINS FACILEMENT'!$F$26),AU11,0)</f>
        <v>0</v>
      </c>
      <c r="AV10">
        <f>IF(AV11&lt;MAX('ESTIMEZ VOS GAINS FACILEMENT'!$F$24,'ESTIMEZ VOS GAINS FACILEMENT'!$F$26),AV11,0)</f>
        <v>0</v>
      </c>
      <c r="AW10">
        <f>IF(AW11&lt;MAX('ESTIMEZ VOS GAINS FACILEMENT'!$F$24,'ESTIMEZ VOS GAINS FACILEMENT'!$F$26),AW11,0)</f>
        <v>0</v>
      </c>
      <c r="AX10">
        <f>IF(AX11&lt;MAX('ESTIMEZ VOS GAINS FACILEMENT'!$F$24,'ESTIMEZ VOS GAINS FACILEMENT'!$F$26),AX11,0)</f>
        <v>0</v>
      </c>
    </row>
    <row r="11" spans="3:50">
      <c r="C11" s="1">
        <v>0.5</v>
      </c>
      <c r="F11">
        <v>1</v>
      </c>
      <c r="G11">
        <v>2</v>
      </c>
      <c r="H11">
        <v>3</v>
      </c>
      <c r="I11">
        <v>4</v>
      </c>
      <c r="J11">
        <v>5</v>
      </c>
      <c r="K11">
        <v>6</v>
      </c>
      <c r="L11">
        <v>7</v>
      </c>
      <c r="M11">
        <v>8</v>
      </c>
      <c r="N11">
        <v>9</v>
      </c>
      <c r="O11">
        <v>10</v>
      </c>
      <c r="P11">
        <v>11</v>
      </c>
      <c r="Q11">
        <v>12</v>
      </c>
      <c r="R11">
        <v>13</v>
      </c>
      <c r="S11">
        <v>14</v>
      </c>
      <c r="T11">
        <v>15</v>
      </c>
      <c r="U11">
        <v>16</v>
      </c>
      <c r="V11">
        <v>17</v>
      </c>
      <c r="W11">
        <v>18</v>
      </c>
      <c r="X11">
        <v>19</v>
      </c>
      <c r="Y11">
        <v>20</v>
      </c>
      <c r="Z11">
        <v>21</v>
      </c>
      <c r="AA11">
        <v>22</v>
      </c>
      <c r="AB11">
        <v>23</v>
      </c>
      <c r="AC11">
        <v>24</v>
      </c>
      <c r="AD11">
        <v>25</v>
      </c>
      <c r="AE11">
        <v>26</v>
      </c>
      <c r="AF11">
        <v>27</v>
      </c>
      <c r="AG11">
        <v>28</v>
      </c>
      <c r="AH11">
        <v>29</v>
      </c>
      <c r="AI11">
        <v>30</v>
      </c>
      <c r="AJ11">
        <v>31</v>
      </c>
      <c r="AK11">
        <v>32</v>
      </c>
      <c r="AL11">
        <v>33</v>
      </c>
      <c r="AM11">
        <v>34</v>
      </c>
      <c r="AN11">
        <v>35</v>
      </c>
      <c r="AO11">
        <v>36</v>
      </c>
      <c r="AP11">
        <v>37</v>
      </c>
      <c r="AQ11">
        <v>38</v>
      </c>
      <c r="AR11">
        <v>39</v>
      </c>
      <c r="AS11">
        <v>40</v>
      </c>
      <c r="AT11">
        <v>41</v>
      </c>
      <c r="AU11">
        <v>42</v>
      </c>
      <c r="AV11">
        <v>43</v>
      </c>
      <c r="AW11">
        <v>44</v>
      </c>
      <c r="AX11">
        <v>45</v>
      </c>
    </row>
    <row r="12" spans="3:50">
      <c r="C12" s="1">
        <v>0.55000000000000004</v>
      </c>
      <c r="F12" s="96">
        <f>'ESTIMEZ VOS GAINS FACILEMENT'!G46+'ESTIMEZ VOS GAINS FACILEMENT'!G48</f>
        <v>22539</v>
      </c>
      <c r="G12" s="96">
        <f>$F$12*G11</f>
        <v>45078</v>
      </c>
      <c r="H12" s="96">
        <f>$F$12*H11</f>
        <v>67617</v>
      </c>
      <c r="I12" s="96">
        <f t="shared" ref="I12:X12" si="0">$F$12*I11</f>
        <v>90156</v>
      </c>
      <c r="J12" s="96">
        <f t="shared" si="0"/>
        <v>112695</v>
      </c>
      <c r="K12" s="96">
        <f t="shared" si="0"/>
        <v>135234</v>
      </c>
      <c r="L12" s="96">
        <f t="shared" si="0"/>
        <v>157773</v>
      </c>
      <c r="M12" s="96">
        <f t="shared" si="0"/>
        <v>180312</v>
      </c>
      <c r="N12" s="96">
        <f t="shared" si="0"/>
        <v>202851</v>
      </c>
      <c r="O12" s="96">
        <f t="shared" si="0"/>
        <v>225390</v>
      </c>
      <c r="P12" s="96">
        <f t="shared" si="0"/>
        <v>247929</v>
      </c>
      <c r="Q12" s="96">
        <f t="shared" si="0"/>
        <v>270468</v>
      </c>
      <c r="R12" s="96">
        <f t="shared" si="0"/>
        <v>293007</v>
      </c>
      <c r="S12" s="96">
        <f t="shared" si="0"/>
        <v>315546</v>
      </c>
      <c r="T12" s="96">
        <f t="shared" si="0"/>
        <v>338085</v>
      </c>
      <c r="U12" s="96">
        <f t="shared" si="0"/>
        <v>360624</v>
      </c>
      <c r="V12" s="96">
        <f t="shared" si="0"/>
        <v>383163</v>
      </c>
      <c r="W12" s="96">
        <f t="shared" si="0"/>
        <v>405702</v>
      </c>
      <c r="X12" s="96">
        <f t="shared" si="0"/>
        <v>428241</v>
      </c>
      <c r="Y12" s="96">
        <f t="shared" ref="Y12:AX12" si="1">$F$12*Y11</f>
        <v>450780</v>
      </c>
      <c r="Z12" s="96">
        <f t="shared" si="1"/>
        <v>473319</v>
      </c>
      <c r="AA12" s="96">
        <f t="shared" si="1"/>
        <v>495858</v>
      </c>
      <c r="AB12" s="96">
        <f t="shared" si="1"/>
        <v>518397</v>
      </c>
      <c r="AC12" s="96">
        <f t="shared" si="1"/>
        <v>540936</v>
      </c>
      <c r="AD12" s="96">
        <f t="shared" si="1"/>
        <v>563475</v>
      </c>
      <c r="AE12" s="96">
        <f t="shared" si="1"/>
        <v>586014</v>
      </c>
      <c r="AF12" s="96">
        <f t="shared" si="1"/>
        <v>608553</v>
      </c>
      <c r="AG12" s="96">
        <f t="shared" si="1"/>
        <v>631092</v>
      </c>
      <c r="AH12" s="96">
        <f t="shared" si="1"/>
        <v>653631</v>
      </c>
      <c r="AI12" s="96">
        <f t="shared" si="1"/>
        <v>676170</v>
      </c>
      <c r="AJ12" s="96">
        <f t="shared" si="1"/>
        <v>698709</v>
      </c>
      <c r="AK12" s="96">
        <f t="shared" si="1"/>
        <v>721248</v>
      </c>
      <c r="AL12" s="96">
        <f t="shared" si="1"/>
        <v>743787</v>
      </c>
      <c r="AM12" s="96">
        <f t="shared" si="1"/>
        <v>766326</v>
      </c>
      <c r="AN12" s="96">
        <f t="shared" si="1"/>
        <v>788865</v>
      </c>
      <c r="AO12" s="96">
        <f t="shared" si="1"/>
        <v>811404</v>
      </c>
      <c r="AP12" s="96">
        <f t="shared" si="1"/>
        <v>833943</v>
      </c>
      <c r="AQ12" s="96">
        <f t="shared" si="1"/>
        <v>856482</v>
      </c>
      <c r="AR12" s="96">
        <f t="shared" si="1"/>
        <v>879021</v>
      </c>
      <c r="AS12" s="96">
        <f t="shared" si="1"/>
        <v>901560</v>
      </c>
      <c r="AT12" s="96">
        <f t="shared" si="1"/>
        <v>924099</v>
      </c>
      <c r="AU12" s="96">
        <f t="shared" si="1"/>
        <v>946638</v>
      </c>
      <c r="AV12" s="96">
        <f t="shared" si="1"/>
        <v>969177</v>
      </c>
      <c r="AW12" s="96">
        <f t="shared" si="1"/>
        <v>991716</v>
      </c>
      <c r="AX12" s="96">
        <f t="shared" si="1"/>
        <v>1014255</v>
      </c>
    </row>
    <row r="13" spans="3:50">
      <c r="C13" s="1">
        <v>0.6</v>
      </c>
      <c r="F13" s="96">
        <f>IF(F12&lt;$F$4,F12,0)</f>
        <v>22539</v>
      </c>
      <c r="G13" s="96">
        <f t="shared" ref="G13:X13" si="2">IF(G12&lt;$F$4,G12,0)</f>
        <v>45078</v>
      </c>
      <c r="H13" s="96">
        <f t="shared" si="2"/>
        <v>67617</v>
      </c>
      <c r="I13" s="96">
        <f t="shared" si="2"/>
        <v>90156</v>
      </c>
      <c r="J13" s="96">
        <f t="shared" si="2"/>
        <v>112695</v>
      </c>
      <c r="K13" s="96">
        <f t="shared" si="2"/>
        <v>135234</v>
      </c>
      <c r="L13" s="96">
        <f t="shared" si="2"/>
        <v>157773</v>
      </c>
      <c r="M13" s="96">
        <f t="shared" si="2"/>
        <v>180312</v>
      </c>
      <c r="N13" s="96">
        <f t="shared" si="2"/>
        <v>202851</v>
      </c>
      <c r="O13" s="96">
        <f t="shared" si="2"/>
        <v>225390</v>
      </c>
      <c r="P13" s="96">
        <f t="shared" si="2"/>
        <v>247929</v>
      </c>
      <c r="Q13" s="96">
        <f t="shared" si="2"/>
        <v>270468</v>
      </c>
      <c r="R13" s="96">
        <f t="shared" si="2"/>
        <v>293007</v>
      </c>
      <c r="S13" s="96">
        <f t="shared" si="2"/>
        <v>315546</v>
      </c>
      <c r="T13" s="96">
        <f t="shared" si="2"/>
        <v>338085</v>
      </c>
      <c r="U13" s="96">
        <f t="shared" si="2"/>
        <v>360624</v>
      </c>
      <c r="V13" s="96">
        <f t="shared" si="2"/>
        <v>383163</v>
      </c>
      <c r="W13" s="96">
        <f t="shared" si="2"/>
        <v>405702</v>
      </c>
      <c r="X13" s="96">
        <f t="shared" si="2"/>
        <v>428241</v>
      </c>
      <c r="Y13" s="96">
        <f t="shared" ref="Y13:AX13" si="3">IF(Y12&lt;$F$4,Y12,0)</f>
        <v>0</v>
      </c>
      <c r="Z13" s="96">
        <f t="shared" si="3"/>
        <v>0</v>
      </c>
      <c r="AA13" s="96">
        <f t="shared" si="3"/>
        <v>0</v>
      </c>
      <c r="AB13" s="96">
        <f t="shared" si="3"/>
        <v>0</v>
      </c>
      <c r="AC13" s="96">
        <f t="shared" si="3"/>
        <v>0</v>
      </c>
      <c r="AD13" s="96">
        <f t="shared" si="3"/>
        <v>0</v>
      </c>
      <c r="AE13" s="96">
        <f t="shared" si="3"/>
        <v>0</v>
      </c>
      <c r="AF13" s="96">
        <f t="shared" si="3"/>
        <v>0</v>
      </c>
      <c r="AG13" s="96">
        <f t="shared" si="3"/>
        <v>0</v>
      </c>
      <c r="AH13" s="96">
        <f t="shared" si="3"/>
        <v>0</v>
      </c>
      <c r="AI13" s="96">
        <f t="shared" si="3"/>
        <v>0</v>
      </c>
      <c r="AJ13" s="96">
        <f t="shared" si="3"/>
        <v>0</v>
      </c>
      <c r="AK13" s="96">
        <f t="shared" si="3"/>
        <v>0</v>
      </c>
      <c r="AL13" s="96">
        <f t="shared" si="3"/>
        <v>0</v>
      </c>
      <c r="AM13" s="96">
        <f t="shared" si="3"/>
        <v>0</v>
      </c>
      <c r="AN13" s="96">
        <f t="shared" si="3"/>
        <v>0</v>
      </c>
      <c r="AO13" s="96">
        <f t="shared" si="3"/>
        <v>0</v>
      </c>
      <c r="AP13" s="96">
        <f t="shared" si="3"/>
        <v>0</v>
      </c>
      <c r="AQ13" s="96">
        <f t="shared" si="3"/>
        <v>0</v>
      </c>
      <c r="AR13" s="96">
        <f t="shared" si="3"/>
        <v>0</v>
      </c>
      <c r="AS13" s="96">
        <f t="shared" si="3"/>
        <v>0</v>
      </c>
      <c r="AT13" s="96">
        <f t="shared" si="3"/>
        <v>0</v>
      </c>
      <c r="AU13" s="96">
        <f t="shared" si="3"/>
        <v>0</v>
      </c>
      <c r="AV13" s="96">
        <f t="shared" si="3"/>
        <v>0</v>
      </c>
      <c r="AW13" s="96">
        <f t="shared" si="3"/>
        <v>0</v>
      </c>
      <c r="AX13" s="96">
        <f t="shared" si="3"/>
        <v>0</v>
      </c>
    </row>
    <row r="14" spans="3:50">
      <c r="C14" s="1">
        <v>0.65</v>
      </c>
    </row>
    <row r="15" spans="3:50">
      <c r="C15" s="1">
        <v>0.7</v>
      </c>
    </row>
    <row r="16" spans="3:50">
      <c r="C16" s="1">
        <v>0.75</v>
      </c>
    </row>
    <row r="17" spans="3:3">
      <c r="C17" s="1">
        <v>0.8</v>
      </c>
    </row>
    <row r="18" spans="3:3">
      <c r="C18" s="1">
        <v>0.85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ESTIMEZ VOS GAINS FACILEMENT</vt:lpstr>
      <vt:lpstr>turnover cas 1</vt:lpstr>
      <vt:lpstr>Absentéisme 1</vt:lpstr>
      <vt:lpstr>Calculs inter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Professionnel</dc:creator>
  <cp:lastModifiedBy>Professionnel</cp:lastModifiedBy>
  <cp:lastPrinted>2019-03-01T15:02:09Z</cp:lastPrinted>
  <dcterms:created xsi:type="dcterms:W3CDTF">2018-02-21T09:19:02Z</dcterms:created>
  <dcterms:modified xsi:type="dcterms:W3CDTF">2019-03-01T16:47:33Z</dcterms:modified>
</cp:coreProperties>
</file>